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6035" yWindow="30" windowWidth="12375" windowHeight="12615" tabRatio="832" activeTab="4"/>
  </bookViews>
  <sheets>
    <sheet name="ORTP Summary" sheetId="48" r:id="rId1"/>
    <sheet name="Annual Update Instructions" sheetId="99" r:id="rId2"/>
    <sheet name="Generation&gt;&gt;" sheetId="51" r:id="rId3"/>
    <sheet name="CONE Calcs" sheetId="3" r:id="rId4"/>
    <sheet name="Construction Cashflows" sheetId="4" r:id="rId5"/>
    <sheet name="Annual Updates Calcs" sheetId="57" r:id="rId6"/>
    <sheet name="Generation Data&gt;&gt;&gt;" sheetId="52" r:id="rId7"/>
    <sheet name="Unit Specifications" sheetId="62" r:id="rId8"/>
    <sheet name="Capital Costs" sheetId="61" r:id="rId9"/>
    <sheet name="O&amp;M Costs" sheetId="63" r:id="rId10"/>
    <sheet name="Cost Assumptions" sheetId="22" r:id="rId11"/>
    <sheet name="Interconnection Costs" sheetId="67" r:id="rId12"/>
    <sheet name="Capital Drawdown Schedule" sheetId="25" r:id="rId13"/>
    <sheet name="Tax Depreciation" sheetId="2" r:id="rId14"/>
    <sheet name="Revenue Offsets" sheetId="73" r:id="rId15"/>
    <sheet name="Cost Index Data" sheetId="56" r:id="rId16"/>
    <sheet name="Revenue Calcs&gt;&gt;" sheetId="84" r:id="rId17"/>
    <sheet name="Annual Results" sheetId="78" r:id="rId18"/>
    <sheet name="Margin Forecast" sheetId="81" r:id="rId19"/>
    <sheet name="Futures Prices" sheetId="80" r:id="rId20"/>
    <sheet name="Historical Prices" sheetId="79" r:id="rId21"/>
    <sheet name="DR&gt;&gt;" sheetId="69" r:id="rId22"/>
    <sheet name="Mass Market" sheetId="71" r:id="rId23"/>
    <sheet name="Large C&amp;I" sheetId="70" r:id="rId24"/>
    <sheet name="EE&gt;&gt;" sheetId="97" r:id="rId25"/>
    <sheet name="EE ORTP Calc" sheetId="87" r:id="rId26"/>
    <sheet name="EE Savings" sheetId="98" r:id="rId27"/>
    <sheet name="EE Programs" sheetId="88" r:id="rId28"/>
    <sheet name="State Programs Summary" sheetId="89" r:id="rId29"/>
    <sheet name="MA raw" sheetId="90" r:id="rId30"/>
    <sheet name="VT raw" sheetId="91" r:id="rId31"/>
    <sheet name="NH raw" sheetId="92" r:id="rId32"/>
    <sheet name="ME raw" sheetId="93" r:id="rId33"/>
    <sheet name="CT CLP raw" sheetId="94" r:id="rId34"/>
    <sheet name="CT UI raw" sheetId="95" r:id="rId35"/>
    <sheet name="RI raw" sheetId="96" r:id="rId36"/>
    <sheet name="Capital Costs Summary" sheetId="101" r:id="rId37"/>
    <sheet name="Shaw Comparison" sheetId="100" r:id="rId38"/>
  </sheets>
  <externalReferences>
    <externalReference r:id="rId39"/>
    <externalReference r:id="rId40"/>
    <externalReference r:id="rId41"/>
    <externalReference r:id="rId42"/>
    <externalReference r:id="rId43"/>
  </externalReferences>
  <definedNames>
    <definedName name="AccessDatabase" hidden="1">"D:\TU\Data.mdb"</definedName>
    <definedName name="ANNUITY">#REF!</definedName>
    <definedName name="ATWACC" localSheetId="3">'CONE Calcs'!$D$44</definedName>
    <definedName name="Capacity_Factor" localSheetId="36">'[1]CONE Calcs'!#REF!</definedName>
    <definedName name="Capacity_Factor">'CONE Calcs'!#REF!</definedName>
    <definedName name="Case" localSheetId="25">#REF!</definedName>
    <definedName name="Case">#REF!</definedName>
    <definedName name="Case1">#REF!</definedName>
    <definedName name="CF">#REF!</definedName>
    <definedName name="City_Tax" localSheetId="25">#REF!</definedName>
    <definedName name="City_Tax">#REF!</definedName>
    <definedName name="COD">#REF!</definedName>
    <definedName name="costofdebt" localSheetId="27">#REF!</definedName>
    <definedName name="costofdebt" localSheetId="31">#REF!</definedName>
    <definedName name="costofdebt" localSheetId="7">#REF!</definedName>
    <definedName name="costofdebt">#REF!</definedName>
    <definedName name="costofdebt_ee" localSheetId="27">#REF!</definedName>
    <definedName name="costofdebt_ee" localSheetId="31">#REF!</definedName>
    <definedName name="costofdebt_ee" localSheetId="7">#REF!</definedName>
    <definedName name="costofdebt_ee">#REF!</definedName>
    <definedName name="CP" localSheetId="25">#REF!</definedName>
    <definedName name="CP" localSheetId="27">#REF!</definedName>
    <definedName name="CP" localSheetId="31">'[2]Generation Inputs'!$A$133:$A$134</definedName>
    <definedName name="CP" localSheetId="7">#REF!</definedName>
    <definedName name="CP">#REF!</definedName>
    <definedName name="cpi" localSheetId="27">#REF!</definedName>
    <definedName name="cpi" localSheetId="31">#REF!</definedName>
    <definedName name="cpi" localSheetId="7">#REF!</definedName>
    <definedName name="cpi">#REF!</definedName>
    <definedName name="customer_invest" localSheetId="31">'[2]DR &amp; EE Inputs'!$L$156</definedName>
    <definedName name="customer_invest">'[3]DR &amp; EE Inputs'!$L$156</definedName>
    <definedName name="custr" localSheetId="25">#REF!</definedName>
    <definedName name="custr" localSheetId="27">#REF!</definedName>
    <definedName name="custr" localSheetId="31">#REF!</definedName>
    <definedName name="custr" localSheetId="7">#REF!</definedName>
    <definedName name="custr">#REF!</definedName>
    <definedName name="custr_IN_OUT" localSheetId="27">#REF!</definedName>
    <definedName name="custr_IN_OUT" localSheetId="31">#REF!</definedName>
    <definedName name="custr_IN_OUT" localSheetId="7">#REF!</definedName>
    <definedName name="custr_IN_OUT">#REF!</definedName>
    <definedName name="Debt_Frac">#REF!</definedName>
    <definedName name="Debt_Fraction" localSheetId="3">'CONE Calcs'!$D$36</definedName>
    <definedName name="Debt_Rate" localSheetId="3">'CONE Calcs'!$D$37</definedName>
    <definedName name="debtratio" localSheetId="25">#REF!</definedName>
    <definedName name="debtratio" localSheetId="27">#REF!</definedName>
    <definedName name="debtratio" localSheetId="31">#REF!</definedName>
    <definedName name="debtratio" localSheetId="7">#REF!</definedName>
    <definedName name="debtratio">#REF!</definedName>
    <definedName name="debtratio_ee" localSheetId="27">#REF!</definedName>
    <definedName name="debtratio_ee" localSheetId="31">#REF!</definedName>
    <definedName name="debtratio_ee" localSheetId="7">#REF!</definedName>
    <definedName name="debtratio_ee">#REF!</definedName>
    <definedName name="Dep_Cost">#REF!</definedName>
    <definedName name="Depreciable_Cost" localSheetId="36">'[1]CONE Calcs'!$D$18</definedName>
    <definedName name="Depreciable_Cost" localSheetId="25">'[4]CONE Calcs'!$D$18</definedName>
    <definedName name="Depreciable_Cost">'CONE Calcs'!$D$18</definedName>
    <definedName name="DR_Hours" localSheetId="31">'[2]Top 200 Hours'!$A$4:$B$203</definedName>
    <definedName name="DR_Hours">'[3]Top 200 Hours'!$A$4:$B$203</definedName>
    <definedName name="DR_Hours_Result" localSheetId="31">'[2]DR &amp; EE Inputs'!$M$166</definedName>
    <definedName name="DR_Hours_Result">'[3]DR &amp; EE Inputs'!$M$166</definedName>
    <definedName name="DR_ONPEAK_HOURS" localSheetId="31">'[2]DR &amp; EE Inputs'!$L$166</definedName>
    <definedName name="DR_ONPEAK_HOURS">'[3]DR &amp; EE Inputs'!$L$166</definedName>
    <definedName name="E_P">#REF!</definedName>
    <definedName name="EAS" localSheetId="36">'[1]CONE Calcs'!$D$32</definedName>
    <definedName name="EAS">'CONE Calcs'!$D$32</definedName>
    <definedName name="EAS_Margin">'[4]CONE Calcs'!$D$30</definedName>
    <definedName name="Economic_Life" localSheetId="3">'CONE Calcs'!$D$26</definedName>
    <definedName name="efftaxrate_ee" localSheetId="25">#REF!</definedName>
    <definedName name="efftaxrate_ee" localSheetId="27">#REF!</definedName>
    <definedName name="efftaxrate_ee" localSheetId="31">#REF!</definedName>
    <definedName name="efftaxrate_ee" localSheetId="7">#REF!</definedName>
    <definedName name="efftaxrate_ee">#REF!</definedName>
    <definedName name="entity" localSheetId="31">'[2]DR &amp; EE Inputs'!$L$109</definedName>
    <definedName name="entity">'[3]DR &amp; EE Inputs'!$L$109</definedName>
    <definedName name="EP" localSheetId="25">#REF!</definedName>
    <definedName name="EP" localSheetId="27">#REF!</definedName>
    <definedName name="EP" localSheetId="31">'[2]Generation Inputs'!$A$128:$A$130</definedName>
    <definedName name="EP" localSheetId="7">#REF!</definedName>
    <definedName name="EP">#REF!</definedName>
    <definedName name="EQ_Frac" localSheetId="25">#REF!</definedName>
    <definedName name="EQ_Frac">#REF!</definedName>
    <definedName name="Equity_Period">#REF!</definedName>
    <definedName name="Equity_Rate" localSheetId="3">'CONE Calcs'!$D$38</definedName>
    <definedName name="Escalation_Rate" localSheetId="36">'[1]CONE Calcs'!$D$43</definedName>
    <definedName name="Escalation_Rate">'CONE Calcs'!$D$43</definedName>
    <definedName name="Eval_Period" localSheetId="25">#REF!</definedName>
    <definedName name="Eval_Period">#REF!</definedName>
    <definedName name="EvalPeriod">#REF!</definedName>
    <definedName name="f" localSheetId="27">#REF!</definedName>
    <definedName name="f">#REF!</definedName>
    <definedName name="Fed_Tax" localSheetId="25">#REF!</definedName>
    <definedName name="Fed_Tax">#REF!</definedName>
    <definedName name="fuel" localSheetId="36">'[1]CONE Calcs'!#REF!</definedName>
    <definedName name="fuel" localSheetId="25">'[4]CONE Calcs'!#REF!</definedName>
    <definedName name="fuel" localSheetId="7">'CONE Calcs'!#REF!</definedName>
    <definedName name="fuel">'CONE Calcs'!#REF!</definedName>
    <definedName name="Fuel1">#REF!</definedName>
    <definedName name="generationinputsheet" localSheetId="25">#REF!</definedName>
    <definedName name="generationinputsheet" localSheetId="27">#REF!</definedName>
    <definedName name="generationinputsheet" localSheetId="31">#REF!</definedName>
    <definedName name="generationinputsheet" localSheetId="7">#REF!</definedName>
    <definedName name="generationinputsheet">#REF!</definedName>
    <definedName name="HTML_CodePage" hidden="1">1252</definedName>
    <definedName name="HTML_Control" localSheetId="36" hidden="1">{"'Sheet1'!$A$1:$R$155"}</definedName>
    <definedName name="HTML_Control" localSheetId="25" hidden="1">{"'Sheet1'!$A$1:$R$155"}</definedName>
    <definedName name="HTML_Control" localSheetId="13" hidden="1">{"'Sheet1'!$A$1:$R$155"}</definedName>
    <definedName name="HTML_Control" hidden="1">{"'Sheet1'!$A$1:$R$155"}</definedName>
    <definedName name="HTML_Control_Ori" localSheetId="36" hidden="1">{"'Sheet1'!$A$14:$K$113"}</definedName>
    <definedName name="HTML_Control_Ori" localSheetId="25" hidden="1">{"'Sheet1'!$A$14:$K$113"}</definedName>
    <definedName name="HTML_Control_Ori" localSheetId="13" hidden="1">{"'Sheet1'!$A$14:$K$113"}</definedName>
    <definedName name="HTML_Control_Ori" hidden="1">{"'Sheet1'!$A$14:$K$113"}</definedName>
    <definedName name="HTML_Description" hidden="1">""</definedName>
    <definedName name="HTML_Email" hidden="1">""</definedName>
    <definedName name="HTML_Header" hidden="1">""</definedName>
    <definedName name="HTML_LastUpdate" hidden="1">"11/02/2001"</definedName>
    <definedName name="HTML_LineAfter" hidden="1">TRUE</definedName>
    <definedName name="HTML_LineBefore" hidden="1">FALSE</definedName>
    <definedName name="HTML_Name" hidden="1">"BLynch"</definedName>
    <definedName name="HTML_OBDlg2" hidden="1">TRUE</definedName>
    <definedName name="HTML_OBDlg4" hidden="1">TRUE</definedName>
    <definedName name="HTML_OS" hidden="1">0</definedName>
    <definedName name="HTML_PathFile" hidden="1">"I:\SIS Applications\MyHTML-SIS-110201.htm"</definedName>
    <definedName name="HTML_PathFileMac" hidden="1">"Bob's G4:Desktop Folder:MyHTML.html"</definedName>
    <definedName name="HTML_Title" hidden="1">"Interconnection Study Status"</definedName>
    <definedName name="HTMLcontrol" localSheetId="36" hidden="1">{"'Sheet1'!$A$1:$R$155"}</definedName>
    <definedName name="HTMLcontrol" hidden="1">{"'Sheet1'!$A$1:$R$155"}</definedName>
    <definedName name="HTMLControlOri" localSheetId="36" hidden="1">{"'Sheet1'!$A$14:$K$113"}</definedName>
    <definedName name="HTMLControlOri" hidden="1">{"'Sheet1'!$A$14:$K$113"}</definedName>
    <definedName name="i_at">#REF!</definedName>
    <definedName name="iat">#REF!</definedName>
    <definedName name="incentives_invest" localSheetId="31">'[2]DR &amp; EE Inputs'!$L$154</definedName>
    <definedName name="incentives_invest">'[3]DR &amp; EE Inputs'!$L$154</definedName>
    <definedName name="Inflation" localSheetId="3">'CONE Calcs'!$D$42</definedName>
    <definedName name="Inflation" localSheetId="14">'CONE Calcs'!$D$42</definedName>
    <definedName name="Inflation">#REF!</definedName>
    <definedName name="inputsheet" localSheetId="25">#REF!</definedName>
    <definedName name="inputsheet" localSheetId="27">#REF!</definedName>
    <definedName name="inputsheet" localSheetId="31">#REF!</definedName>
    <definedName name="inputsheet" localSheetId="7">#REF!</definedName>
    <definedName name="inputsheet">#REF!</definedName>
    <definedName name="Ins_Rate" localSheetId="25">#REF!</definedName>
    <definedName name="Ins_Rate">#REF!</definedName>
    <definedName name="INS_remove">#REF!</definedName>
    <definedName name="Installed_Cost" localSheetId="36">'[1]CONE Calcs'!$D$16</definedName>
    <definedName name="Installed_Cost" localSheetId="25">'[4]CONE Calcs'!$D$16</definedName>
    <definedName name="Installed_Cost">'CONE Calcs'!$D$16</definedName>
    <definedName name="InstalledCost">#REF!</definedName>
    <definedName name="Interest_During_Construction" localSheetId="3">'CONE Calcs'!$D$47</definedName>
    <definedName name="Invest_Net" localSheetId="25">#REF!</definedName>
    <definedName name="Invest_Net">#REF!</definedName>
    <definedName name="Investment1" localSheetId="25">#REF!</definedName>
    <definedName name="Investment1" localSheetId="27">#REF!</definedName>
    <definedName name="Investment1" localSheetId="31">#REF!</definedName>
    <definedName name="Investment1" localSheetId="7">#REF!</definedName>
    <definedName name="Investment1">#REF!</definedName>
    <definedName name="InvestNet">#REF!</definedName>
    <definedName name="ITC" localSheetId="3">'CONE Calcs'!$D$30</definedName>
    <definedName name="labor_invest" localSheetId="31">'[2]DR &amp; EE Inputs'!$L$152</definedName>
    <definedName name="labor_invest">'[3]DR &amp; EE Inputs'!$L$152</definedName>
    <definedName name="level">#REF!</definedName>
    <definedName name="level_method">#REF!</definedName>
    <definedName name="levelization" localSheetId="36">'[1]CONE Calcs'!#REF!</definedName>
    <definedName name="levelization" localSheetId="25">'[4]CONE Calcs'!#REF!</definedName>
    <definedName name="levelization" localSheetId="7">'CONE Calcs'!#REF!</definedName>
    <definedName name="levelization">'CONE Calcs'!#REF!</definedName>
    <definedName name="levelization_method" localSheetId="36">'[1]CONE Calcs'!#REF!</definedName>
    <definedName name="levelization_method" localSheetId="25">'[4]CONE Calcs'!#REF!</definedName>
    <definedName name="levelization_method" localSheetId="7">'CONE Calcs'!#REF!</definedName>
    <definedName name="levelization_method">'CONE Calcs'!#REF!</definedName>
    <definedName name="leveloutput_1" localSheetId="25">#REF!</definedName>
    <definedName name="leveloutput_1" localSheetId="7">#REF!</definedName>
    <definedName name="leveloutput_1">#REF!</definedName>
    <definedName name="leveloutput_2" localSheetId="25">#REF!</definedName>
    <definedName name="leveloutput_2" localSheetId="7">#REF!</definedName>
    <definedName name="leveloutput_2">#REF!</definedName>
    <definedName name="leveloutput1">#REF!</definedName>
    <definedName name="ListOffset" hidden="1">8</definedName>
    <definedName name="loadperiod">#REF!</definedName>
    <definedName name="Loan_Period" localSheetId="25">#REF!</definedName>
    <definedName name="Loan_Period">#REF!</definedName>
    <definedName name="MACRS">#REF!</definedName>
    <definedName name="MACRS1">#REF!</definedName>
    <definedName name="marketing_invest" localSheetId="31">'[2]DR &amp; EE Inputs'!$L$155</definedName>
    <definedName name="marketing_invest">'[3]DR &amp; EE Inputs'!$L$155</definedName>
    <definedName name="materials_invest" localSheetId="31">'[2]DR &amp; EE Inputs'!$L$153</definedName>
    <definedName name="materials_invest">'[3]DR &amp; EE Inputs'!$L$153</definedName>
    <definedName name="Misc_Material" hidden="1">[5]EquipTable!$GP$13:$IH$516</definedName>
    <definedName name="mktriskprem" localSheetId="25">#REF!</definedName>
    <definedName name="mktriskprem" localSheetId="27">#REF!</definedName>
    <definedName name="mktriskprem" localSheetId="31">#REF!</definedName>
    <definedName name="mktriskprem" localSheetId="7">#REF!</definedName>
    <definedName name="mktriskprem">#REF!</definedName>
    <definedName name="mktriskprem_ee" localSheetId="27">#REF!</definedName>
    <definedName name="mktriskprem_ee" localSheetId="31">#REF!</definedName>
    <definedName name="mktriskprem_ee" localSheetId="7">#REF!</definedName>
    <definedName name="mktriskprem_ee">#REF!</definedName>
    <definedName name="MV_Invest" localSheetId="31">'[2]DR &amp; EE Inputs'!$L$157</definedName>
    <definedName name="MV_Invest">'[3]DR &amp; EE Inputs'!$L$157</definedName>
    <definedName name="N_o" localSheetId="36" hidden="1">{"'Sheet1'!$A$14:$K$113"}</definedName>
    <definedName name="N_o" hidden="1">{"'Sheet1'!$A$14:$K$113"}</definedName>
    <definedName name="No" localSheetId="36" hidden="1">{"'Sheet1'!$A$14:$K$113"}</definedName>
    <definedName name="No" localSheetId="25" hidden="1">{"'Sheet1'!$A$14:$K$113"}</definedName>
    <definedName name="No" localSheetId="13" hidden="1">{"'Sheet1'!$A$14:$K$113"}</definedName>
    <definedName name="No" hidden="1">{"'Sheet1'!$A$14:$K$113"}</definedName>
    <definedName name="NYC_Flag">#REF!</definedName>
    <definedName name="offer_210">[3]Summary!#REF!</definedName>
    <definedName name="offer_23">[3]Summary!#REF!</definedName>
    <definedName name="offer_27">[3]Summary!#REF!</definedName>
    <definedName name="offer1" localSheetId="31">[2]Summary!$D$36</definedName>
    <definedName name="offer1">[3]Summary!$D$36</definedName>
    <definedName name="offer10" localSheetId="31">[2]Summary!$D$45</definedName>
    <definedName name="offer10">[3]Summary!$D$45</definedName>
    <definedName name="offer11" localSheetId="31">[2]Summary!$D$46</definedName>
    <definedName name="offer11">[3]Summary!$D$46</definedName>
    <definedName name="offer12" localSheetId="31">[2]Summary!$D$47</definedName>
    <definedName name="offer12">[3]Summary!$D$47</definedName>
    <definedName name="offer13" localSheetId="31">[2]Summary!$D$48</definedName>
    <definedName name="offer13">[3]Summary!$D$48</definedName>
    <definedName name="offer14" localSheetId="31">[2]Summary!$D$49</definedName>
    <definedName name="offer14">[3]Summary!$D$49</definedName>
    <definedName name="offer15" localSheetId="31">[2]Summary!$D$65</definedName>
    <definedName name="offer15">[3]Summary!$D$65</definedName>
    <definedName name="offer16" localSheetId="31">[2]Summary!$D$66</definedName>
    <definedName name="offer16">[3]Summary!$D$66</definedName>
    <definedName name="offer17" localSheetId="31">[2]Summary!$D$67</definedName>
    <definedName name="offer17">[3]Summary!$D$67</definedName>
    <definedName name="offer18" localSheetId="31">[2]Summary!$D$70</definedName>
    <definedName name="offer18">[3]Summary!$D$70</definedName>
    <definedName name="offer19" localSheetId="31">[2]Summary!$D$71</definedName>
    <definedName name="offer19">[3]Summary!$D$71</definedName>
    <definedName name="offer2" localSheetId="31">[2]Summary!$D$37</definedName>
    <definedName name="offer2">[3]Summary!$D$37</definedName>
    <definedName name="offer20" localSheetId="31">[2]Summary!$D$72</definedName>
    <definedName name="offer20">[3]Summary!$D$72</definedName>
    <definedName name="offer201" localSheetId="31">[2]Summary!$D$89</definedName>
    <definedName name="offer201">[3]Summary!$D$89</definedName>
    <definedName name="offer202" localSheetId="31">[2]Summary!$D$90</definedName>
    <definedName name="offer202">[3]Summary!$D$90</definedName>
    <definedName name="offer203" localSheetId="31">[2]Summary!$D$91</definedName>
    <definedName name="offer203">[3]Summary!$D$91</definedName>
    <definedName name="offer204" localSheetId="31">[2]Summary!$D$92</definedName>
    <definedName name="offer204">[3]Summary!$D$92</definedName>
    <definedName name="offer205" localSheetId="31">[2]Summary!$D$93</definedName>
    <definedName name="offer205">[3]Summary!$D$93</definedName>
    <definedName name="offer206" localSheetId="31">[2]Summary!$D$94</definedName>
    <definedName name="offer206">[3]Summary!$D$94</definedName>
    <definedName name="offer207" localSheetId="31">[2]Summary!$D$95</definedName>
    <definedName name="offer207">[3]Summary!$D$95</definedName>
    <definedName name="offer208" localSheetId="31">[2]Summary!$D$96</definedName>
    <definedName name="offer208">[3]Summary!$D$96</definedName>
    <definedName name="offer209" localSheetId="31">[2]Summary!$D$97</definedName>
    <definedName name="offer209">[3]Summary!$D$97</definedName>
    <definedName name="offer21" localSheetId="31">[2]Summary!$D$73</definedName>
    <definedName name="offer21">[3]Summary!$D$73</definedName>
    <definedName name="offer210" localSheetId="25">[3]Summary!#REF!</definedName>
    <definedName name="offer210" localSheetId="27">[3]Summary!#REF!</definedName>
    <definedName name="offer210" localSheetId="31">[2]Summary!#REF!</definedName>
    <definedName name="offer210" localSheetId="7">[3]Summary!#REF!</definedName>
    <definedName name="offer210">[3]Summary!#REF!</definedName>
    <definedName name="offer211" localSheetId="31">[2]Summary!$D$98</definedName>
    <definedName name="offer211">[3]Summary!$D$98</definedName>
    <definedName name="offer22" localSheetId="31">[2]Summary!$D$74</definedName>
    <definedName name="offer22">[3]Summary!$D$74</definedName>
    <definedName name="offer23" localSheetId="25">[3]Summary!#REF!</definedName>
    <definedName name="offer23" localSheetId="27">[3]Summary!#REF!</definedName>
    <definedName name="offer23" localSheetId="31">[2]Summary!#REF!</definedName>
    <definedName name="offer23" localSheetId="7">[3]Summary!#REF!</definedName>
    <definedName name="offer23">[3]Summary!#REF!</definedName>
    <definedName name="offer24" localSheetId="31">[2]Summary!$D$75</definedName>
    <definedName name="offer24">[3]Summary!$D$75</definedName>
    <definedName name="offer25" localSheetId="31">[2]Summary!$D$76</definedName>
    <definedName name="offer25">[3]Summary!$D$76</definedName>
    <definedName name="offer26" localSheetId="31">[2]Summary!$D$77</definedName>
    <definedName name="offer26">[3]Summary!$D$77</definedName>
    <definedName name="offer27" localSheetId="25">[3]Summary!#REF!</definedName>
    <definedName name="offer27" localSheetId="27">[3]Summary!#REF!</definedName>
    <definedName name="offer27" localSheetId="31">[2]Summary!#REF!</definedName>
    <definedName name="offer27" localSheetId="7">[3]Summary!#REF!</definedName>
    <definedName name="offer27">[3]Summary!#REF!</definedName>
    <definedName name="offer28" localSheetId="31">[2]Summary!$D$80</definedName>
    <definedName name="offer28">[3]Summary!$D$80</definedName>
    <definedName name="offer29" localSheetId="31">[2]Summary!$D$81</definedName>
    <definedName name="offer29">[3]Summary!$D$81</definedName>
    <definedName name="offer3" localSheetId="31">[2]Summary!$D$38</definedName>
    <definedName name="offer3">[3]Summary!$D$38</definedName>
    <definedName name="offer30" localSheetId="31">[2]Summary!$D$82</definedName>
    <definedName name="offer30">[3]Summary!$D$82</definedName>
    <definedName name="offer31" localSheetId="31">[2]Summary!$D$83</definedName>
    <definedName name="offer31">[3]Summary!$D$83</definedName>
    <definedName name="offer32" localSheetId="31">[2]Summary!$D$84</definedName>
    <definedName name="offer32">[3]Summary!$D$84</definedName>
    <definedName name="offer33" localSheetId="31">[2]Summary!$D$85</definedName>
    <definedName name="offer33">[3]Summary!$D$85</definedName>
    <definedName name="offer34" localSheetId="31">[2]Summary!$D$86</definedName>
    <definedName name="offer34">[3]Summary!$D$86</definedName>
    <definedName name="offer35" localSheetId="31">[2]Summary!$D$52</definedName>
    <definedName name="offer35">[3]Summary!$D$52</definedName>
    <definedName name="offer36" localSheetId="31">[2]Summary!$D$53</definedName>
    <definedName name="offer36">[3]Summary!$D$53</definedName>
    <definedName name="offer37" localSheetId="31">[2]Summary!$D$54</definedName>
    <definedName name="offer37">[3]Summary!$D$54</definedName>
    <definedName name="offer38" localSheetId="31">[2]Summary!$D$55</definedName>
    <definedName name="offer38">[3]Summary!$D$55</definedName>
    <definedName name="offer39" localSheetId="31">[2]Summary!$D$56</definedName>
    <definedName name="offer39">[3]Summary!$D$56</definedName>
    <definedName name="offer4" localSheetId="31">[2]Summary!$D$39</definedName>
    <definedName name="offer4">[3]Summary!$D$39</definedName>
    <definedName name="offer40" localSheetId="31">[2]Summary!$D$57</definedName>
    <definedName name="offer40">[3]Summary!$D$57</definedName>
    <definedName name="offer41" localSheetId="31">[2]Summary!$D$58</definedName>
    <definedName name="offer41">[3]Summary!$D$58</definedName>
    <definedName name="offer42" localSheetId="31">[2]Summary!$D$59</definedName>
    <definedName name="offer42">[3]Summary!$D$59</definedName>
    <definedName name="offer43" localSheetId="31">[2]Summary!$D$60</definedName>
    <definedName name="offer43">[3]Summary!$D$60</definedName>
    <definedName name="offer44" localSheetId="31">[2]Summary!$D$61</definedName>
    <definedName name="offer44">[3]Summary!$D$61</definedName>
    <definedName name="offer45" localSheetId="31">[2]Summary!$D$62</definedName>
    <definedName name="offer45">[3]Summary!$D$62</definedName>
    <definedName name="offer5" localSheetId="31">[2]Summary!$D$40</definedName>
    <definedName name="offer5">[3]Summary!$D$40</definedName>
    <definedName name="offer6" localSheetId="31">[2]Summary!$D$41</definedName>
    <definedName name="offer6">[3]Summary!$D$41</definedName>
    <definedName name="offer7" localSheetId="31">[2]Summary!$D$42</definedName>
    <definedName name="offer7">[3]Summary!$D$42</definedName>
    <definedName name="offer8" localSheetId="31">[2]Summary!$D$43</definedName>
    <definedName name="offer8">[3]Summary!$D$43</definedName>
    <definedName name="offer9" localSheetId="31">[2]Summary!$D$44</definedName>
    <definedName name="offer9">[3]Summary!$D$44</definedName>
    <definedName name="Opportunity_Cost1" localSheetId="25">#REF!</definedName>
    <definedName name="Opportunity_Cost1" localSheetId="27">#REF!</definedName>
    <definedName name="Opportunity_Cost1" localSheetId="31">#REF!</definedName>
    <definedName name="Opportunity_Cost1" localSheetId="7">#REF!</definedName>
    <definedName name="Opportunity_Cost1">#REF!</definedName>
    <definedName name="Peak_DR" localSheetId="31">'[2]DR &amp; EE Inputs'!$L$132</definedName>
    <definedName name="Peak_DR">'[3]DR &amp; EE Inputs'!$L$132</definedName>
    <definedName name="Peak_Sensitivity1" localSheetId="31">'[2]DR &amp; EE Inputs'!$L$133</definedName>
    <definedName name="Peak_Sensitivity1">'[3]DR &amp; EE Inputs'!$L$133</definedName>
    <definedName name="peak1" localSheetId="31">'[2]DR &amp; EE Inputs'!$L$131</definedName>
    <definedName name="peak1">'[3]DR &amp; EE Inputs'!$L$131</definedName>
    <definedName name="Perf_Inc" localSheetId="36">'[1]CONE Calcs'!$D$34</definedName>
    <definedName name="Perf_Inc">'CONE Calcs'!$D$34</definedName>
    <definedName name="PerfInc">'[4]CONE Calcs'!$D$32</definedName>
    <definedName name="PI">'CONE Calcs'!$D$34</definedName>
    <definedName name="Plant_Capacity" localSheetId="3">'CONE Calcs'!$D$11</definedName>
    <definedName name="_xlnm.Print_Area" localSheetId="3">'CONE Calcs'!$B$1:$BB$132</definedName>
    <definedName name="_xlnm.Print_Area" localSheetId="31">'NH raw'!$B$8:$AH$67</definedName>
    <definedName name="_xlnm.Print_Area" localSheetId="30">'VT raw'!$C$8:$I$43</definedName>
    <definedName name="_xlnm.Print_Titles" localSheetId="3">'CONE Calcs'!$C:$C</definedName>
    <definedName name="project_life1" localSheetId="25">'[3]DR &amp; EE Inputs'!#REF!</definedName>
    <definedName name="project_life1" localSheetId="27">'[3]DR &amp; EE Inputs'!#REF!</definedName>
    <definedName name="project_life1" localSheetId="31">'[2]DR &amp; EE Inputs'!#REF!</definedName>
    <definedName name="project_life1" localSheetId="7">'[3]DR &amp; EE Inputs'!#REF!</definedName>
    <definedName name="project_life1">'[3]DR &amp; EE Inputs'!#REF!</definedName>
    <definedName name="projectlife">'[3]DR &amp; EE Inputs'!#REF!</definedName>
    <definedName name="Prop_Tax" localSheetId="25">#REF!</definedName>
    <definedName name="Prop_Tax">#REF!</definedName>
    <definedName name="Prop_Tax_Rate" localSheetId="25">#REF!</definedName>
    <definedName name="Prop_Tax_Rate">#REF!</definedName>
    <definedName name="PropTax">#REF!</definedName>
    <definedName name="PT_esc" localSheetId="25">#REF!</definedName>
    <definedName name="PT_esc">#REF!</definedName>
    <definedName name="PT_exempt">#REF!</definedName>
    <definedName name="PTC" localSheetId="3">'CONE Calcs'!$D$29</definedName>
    <definedName name="Rd_adj" localSheetId="25">#REF!</definedName>
    <definedName name="Rd_adj">#REF!</definedName>
    <definedName name="RDadj">#REF!</definedName>
    <definedName name="Re_adj" localSheetId="25">#REF!</definedName>
    <definedName name="Re_adj">#REF!</definedName>
    <definedName name="REC">'CONE Calcs'!$D$33</definedName>
    <definedName name="Region" localSheetId="36">'[1]CONE Calcs'!#REF!</definedName>
    <definedName name="Region" localSheetId="25">'[4]CONE Calcs'!#REF!</definedName>
    <definedName name="Region">'CONE Calcs'!#REF!</definedName>
    <definedName name="Region1">#REF!</definedName>
    <definedName name="RESULTS_A">#REF!</definedName>
    <definedName name="RESULTS_B">#REF!</definedName>
    <definedName name="rev_requirements" localSheetId="36">'[1]CONE Calcs'!#REF!</definedName>
    <definedName name="rev_requirements" localSheetId="25">'[4]CONE Calcs'!#REF!</definedName>
    <definedName name="rev_requirements" localSheetId="7">'CONE Calcs'!#REF!</definedName>
    <definedName name="rev_requirements">'CONE Calcs'!#REF!</definedName>
    <definedName name="rev_requirements_year" localSheetId="36">'[1]CONE Calcs'!#REF!</definedName>
    <definedName name="rev_requirements_year" localSheetId="25">'[4]CONE Calcs'!#REF!</definedName>
    <definedName name="rev_requirements_year" localSheetId="7">'CONE Calcs'!#REF!</definedName>
    <definedName name="rev_requirements_year">'CONE Calcs'!#REF!</definedName>
    <definedName name="riskfree" localSheetId="25">#REF!</definedName>
    <definedName name="riskfree" localSheetId="27">#REF!</definedName>
    <definedName name="riskfree" localSheetId="31">#REF!</definedName>
    <definedName name="riskfree" localSheetId="7">#REF!</definedName>
    <definedName name="riskfree">#REF!</definedName>
    <definedName name="riskfreerate_ee" localSheetId="31">'[2]DR &amp; EE Inputs'!$L$113</definedName>
    <definedName name="riskfreerate_ee">'[3]DR &amp; EE Inputs'!$L$113</definedName>
    <definedName name="RR">#REF!</definedName>
    <definedName name="RRyr">#REF!</definedName>
    <definedName name="s">#REF!</definedName>
    <definedName name="Salvage_Value1" localSheetId="25">#REF!</definedName>
    <definedName name="Salvage_Value1" localSheetId="27">#REF!</definedName>
    <definedName name="Salvage_Value1" localSheetId="31">#REF!</definedName>
    <definedName name="Salvage_Value1" localSheetId="7">#REF!</definedName>
    <definedName name="Salvage_Value1">#REF!</definedName>
    <definedName name="scr" localSheetId="36">'[1]CONE Calcs'!#REF!</definedName>
    <definedName name="scr" localSheetId="25">'[4]CONE Calcs'!#REF!</definedName>
    <definedName name="scr" localSheetId="7">'CONE Calcs'!#REF!</definedName>
    <definedName name="scr">'CONE Calcs'!#REF!</definedName>
    <definedName name="solver_adj" localSheetId="3" hidden="1">'CONE Calcs'!$G$67</definedName>
    <definedName name="solver_cvg" localSheetId="3" hidden="1">0.0001</definedName>
    <definedName name="solver_drv" localSheetId="3" hidden="1">1</definedName>
    <definedName name="solver_est" localSheetId="3" hidden="1">1</definedName>
    <definedName name="solver_itr" localSheetId="3" hidden="1">100</definedName>
    <definedName name="solver_lin" localSheetId="3" hidden="1">2</definedName>
    <definedName name="solver_neg" localSheetId="3" hidden="1">2</definedName>
    <definedName name="solver_num" localSheetId="3" hidden="1">0</definedName>
    <definedName name="solver_nwt" localSheetId="3" hidden="1">1</definedName>
    <definedName name="solver_opt" localSheetId="3" hidden="1">'CONE Calcs'!$D$105</definedName>
    <definedName name="solver_pre" localSheetId="3" hidden="1">0.000001</definedName>
    <definedName name="solver_scl" localSheetId="3" hidden="1">2</definedName>
    <definedName name="solver_sho" localSheetId="3" hidden="1">2</definedName>
    <definedName name="solver_tim" localSheetId="3" hidden="1">100</definedName>
    <definedName name="solver_tol" localSheetId="3" hidden="1">0.05</definedName>
    <definedName name="solver_typ" localSheetId="3" hidden="1">3</definedName>
    <definedName name="solver_val" localSheetId="3" hidden="1">0</definedName>
    <definedName name="start_end_dates" localSheetId="25">#REF!</definedName>
    <definedName name="start_end_dates" localSheetId="27">#REF!</definedName>
    <definedName name="start_end_dates" localSheetId="31">#REF!</definedName>
    <definedName name="start_end_dates" localSheetId="7">#REF!</definedName>
    <definedName name="start_end_dates">#REF!</definedName>
    <definedName name="State_Tax">#REF!</definedName>
    <definedName name="STATELIST" localSheetId="31">'[2]DR &amp; EE Inputs'!$A$145:$A$153</definedName>
    <definedName name="STATELIST">'[3]DR &amp; EE Inputs'!$A$145:$A$153</definedName>
    <definedName name="Tax_Depr" localSheetId="25">#REF!</definedName>
    <definedName name="Tax_Depr">#REF!</definedName>
    <definedName name="Tax_Depreciation" localSheetId="3">'CONE Calcs'!$D$27</definedName>
    <definedName name="Tax_Rate" localSheetId="36">'[1]Screening Analysis'!#REF!</definedName>
    <definedName name="Tax_Rate" localSheetId="3">'CONE Calcs'!$D$41</definedName>
    <definedName name="Tax_Rate">#REF!</definedName>
    <definedName name="TaxDepr" localSheetId="36">#REF!</definedName>
    <definedName name="TaxDepr">#REF!</definedName>
    <definedName name="taxrate" localSheetId="25">#REF!</definedName>
    <definedName name="taxrate" localSheetId="27">#REF!</definedName>
    <definedName name="taxrate" localSheetId="31">#REF!</definedName>
    <definedName name="taxrate" localSheetId="7">#REF!</definedName>
    <definedName name="taxrate">#REF!</definedName>
    <definedName name="TaxRate1">'[4]Screening Analysis'!#REF!</definedName>
    <definedName name="Tech" localSheetId="36">#REF!</definedName>
    <definedName name="Tech">#REF!</definedName>
    <definedName name="Technology" localSheetId="36">'[1]CONE Calcs'!$D$6</definedName>
    <definedName name="Technology" localSheetId="25">'[4]CONE Calcs'!$D$6</definedName>
    <definedName name="Technology">'CONE Calcs'!$D$6</definedName>
    <definedName name="techs">'CONE Calcs'!$E$6:$F$6</definedName>
    <definedName name="Techs1">#REF!</definedName>
    <definedName name="Teff">#REF!</definedName>
    <definedName name="Teff1">#REF!</definedName>
    <definedName name="total_cost1" localSheetId="25">#REF!</definedName>
    <definedName name="total_cost1" localSheetId="7">#REF!</definedName>
    <definedName name="total_cost1">#REF!</definedName>
    <definedName name="total_cost2" localSheetId="25">#REF!</definedName>
    <definedName name="total_cost2" localSheetId="7">#REF!</definedName>
    <definedName name="total_cost2">#REF!</definedName>
    <definedName name="totalcost">#REF!</definedName>
    <definedName name="Working_Capital_Sensitivity1" localSheetId="31">'[2]DR &amp; EE Inputs'!$L$140</definedName>
    <definedName name="Working_Capital_Sensitivity1">'[3]DR &amp; EE Inputs'!$L$140</definedName>
    <definedName name="wrkcap_sensitivity1" localSheetId="31">'[2]DR &amp; EE Inputs'!$L$141</definedName>
    <definedName name="wrkcap_sensitivity1">'[3]DR &amp; EE Inputs'!$L$141</definedName>
    <definedName name="wrkcap_split1" localSheetId="31">'[2]DR &amp; EE Inputs'!$L$139</definedName>
    <definedName name="wrkcap_split1">'[3]DR &amp; EE Inputs'!$L$139</definedName>
    <definedName name="xxx" localSheetId="25">#REF!</definedName>
    <definedName name="xxx" localSheetId="27">#REF!</definedName>
    <definedName name="xxx" localSheetId="31">#REF!</definedName>
    <definedName name="xxx" localSheetId="7">#REF!</definedName>
    <definedName name="xxx">#REF!</definedName>
    <definedName name="Year" localSheetId="25">#REF!</definedName>
    <definedName name="Year">#REF!</definedName>
  </definedNames>
  <calcPr calcId="125725"/>
</workbook>
</file>

<file path=xl/calcChain.xml><?xml version="1.0" encoding="utf-8"?>
<calcChain xmlns="http://schemas.openxmlformats.org/spreadsheetml/2006/main">
  <c r="D13" i="101"/>
  <c r="I13"/>
  <c r="N13"/>
  <c r="S13"/>
  <c r="D14"/>
  <c r="I14"/>
  <c r="N14"/>
  <c r="S14"/>
  <c r="D15"/>
  <c r="I15"/>
  <c r="N15"/>
  <c r="S15"/>
  <c r="D16"/>
  <c r="I16"/>
  <c r="N16"/>
  <c r="S16"/>
  <c r="T42"/>
  <c r="S35"/>
  <c r="S34"/>
  <c r="S33"/>
  <c r="S32"/>
  <c r="S23"/>
  <c r="S19"/>
  <c r="S17"/>
  <c r="O35"/>
  <c r="N35"/>
  <c r="O34"/>
  <c r="N34"/>
  <c r="O33"/>
  <c r="N33"/>
  <c r="N32"/>
  <c r="O18"/>
  <c r="N18"/>
  <c r="J33"/>
  <c r="J34"/>
  <c r="J18"/>
  <c r="I34"/>
  <c r="I33"/>
  <c r="I18"/>
  <c r="I17"/>
  <c r="F33"/>
  <c r="F34"/>
  <c r="D33"/>
  <c r="D34"/>
  <c r="D18"/>
  <c r="D17"/>
  <c r="S20" i="100" l="1"/>
  <c r="S19" s="1"/>
  <c r="T19" s="1"/>
  <c r="R20"/>
  <c r="R19"/>
  <c r="L20"/>
  <c r="M20" s="1"/>
  <c r="N20" s="1"/>
  <c r="K20"/>
  <c r="L19"/>
  <c r="M19" s="1"/>
  <c r="N19" s="1"/>
  <c r="K19"/>
  <c r="G20"/>
  <c r="G19"/>
  <c r="F20"/>
  <c r="F19"/>
  <c r="E20"/>
  <c r="E19" s="1"/>
  <c r="D19"/>
  <c r="D20"/>
  <c r="S18"/>
  <c r="T14"/>
  <c r="U14" s="1"/>
  <c r="T13"/>
  <c r="T12"/>
  <c r="T11"/>
  <c r="T10"/>
  <c r="M14"/>
  <c r="N14" s="1"/>
  <c r="M13"/>
  <c r="M12"/>
  <c r="M11"/>
  <c r="M10"/>
  <c r="F14"/>
  <c r="G14" s="1"/>
  <c r="F8"/>
  <c r="F9"/>
  <c r="F10"/>
  <c r="F11"/>
  <c r="F12"/>
  <c r="F13"/>
  <c r="D13" i="3"/>
  <c r="U19" i="100" l="1"/>
  <c r="T20"/>
  <c r="U20" s="1"/>
  <c r="L18" l="1"/>
  <c r="E18"/>
  <c r="F21" l="1"/>
  <c r="F22"/>
  <c r="T21"/>
  <c r="M21"/>
  <c r="U21" l="1"/>
  <c r="T18"/>
  <c r="U17"/>
  <c r="U12"/>
  <c r="T9"/>
  <c r="T8"/>
  <c r="T7"/>
  <c r="S13"/>
  <c r="U18" l="1"/>
  <c r="T22"/>
  <c r="U22" s="1"/>
  <c r="T6"/>
  <c r="M9"/>
  <c r="M8"/>
  <c r="M7"/>
  <c r="M6"/>
  <c r="F7"/>
  <c r="F6"/>
  <c r="D44" i="3"/>
  <c r="G22" i="100" l="1"/>
  <c r="N21"/>
  <c r="G21"/>
  <c r="M18"/>
  <c r="M22" s="1"/>
  <c r="N22" s="1"/>
  <c r="F18"/>
  <c r="N17"/>
  <c r="G17"/>
  <c r="L13"/>
  <c r="E13"/>
  <c r="N12"/>
  <c r="G12"/>
  <c r="L6"/>
  <c r="N18" l="1"/>
  <c r="G18"/>
  <c r="B2" i="96" l="1"/>
  <c r="B2" i="95"/>
  <c r="B2" i="94"/>
  <c r="B2" i="93"/>
  <c r="D2" i="92"/>
  <c r="C1" i="91"/>
  <c r="B2" i="90"/>
  <c r="C1" i="89"/>
  <c r="C1" i="88"/>
  <c r="B1" i="98"/>
  <c r="B1" i="87"/>
  <c r="B1" i="70"/>
  <c r="B1" i="71"/>
  <c r="B1" i="79"/>
  <c r="C1" i="80"/>
  <c r="D1" i="81"/>
  <c r="C2" i="78"/>
  <c r="E1" i="56"/>
  <c r="B2" i="73"/>
  <c r="B1" i="2"/>
  <c r="C1" i="25"/>
  <c r="B1" i="67"/>
  <c r="B2" i="22"/>
  <c r="B3" i="63"/>
  <c r="B3" i="61"/>
  <c r="B2" i="62"/>
  <c r="B2" i="57"/>
  <c r="E6" i="4"/>
  <c r="B1" i="99"/>
  <c r="E34" i="80"/>
  <c r="E46" s="1"/>
  <c r="C6" i="73" l="1"/>
  <c r="C6" i="57"/>
  <c r="M34" s="1"/>
  <c r="J41"/>
  <c r="H42"/>
  <c r="J42"/>
  <c r="H43"/>
  <c r="J43"/>
  <c r="H44"/>
  <c r="I44"/>
  <c r="S87" i="56"/>
  <c r="F25" i="73" l="1"/>
  <c r="D29" i="3" s="1"/>
  <c r="G24" i="73"/>
  <c r="B29"/>
  <c r="F24"/>
  <c r="D33" i="3" s="1"/>
  <c r="I22" i="96" l="1"/>
  <c r="I21"/>
  <c r="I20"/>
  <c r="I19"/>
  <c r="I18"/>
  <c r="I15"/>
  <c r="I12"/>
  <c r="I11"/>
  <c r="I10"/>
  <c r="M25" i="95"/>
  <c r="L25"/>
  <c r="K25"/>
  <c r="J25"/>
  <c r="I25"/>
  <c r="H25"/>
  <c r="G25"/>
  <c r="F25"/>
  <c r="E25"/>
  <c r="D25"/>
  <c r="C25"/>
  <c r="M22"/>
  <c r="L22"/>
  <c r="K22"/>
  <c r="J22"/>
  <c r="I22"/>
  <c r="H22"/>
  <c r="G22"/>
  <c r="F22"/>
  <c r="E22"/>
  <c r="D22"/>
  <c r="C22"/>
  <c r="M15"/>
  <c r="L15"/>
  <c r="K15"/>
  <c r="J15"/>
  <c r="I15"/>
  <c r="H15"/>
  <c r="G15"/>
  <c r="F15"/>
  <c r="E15"/>
  <c r="D15"/>
  <c r="C15"/>
  <c r="K14"/>
  <c r="K13"/>
  <c r="K12"/>
  <c r="O18" i="94"/>
  <c r="N18"/>
  <c r="M18"/>
  <c r="L18"/>
  <c r="K18"/>
  <c r="J18"/>
  <c r="I18"/>
  <c r="H18"/>
  <c r="G18"/>
  <c r="F18"/>
  <c r="E18"/>
  <c r="D18"/>
  <c r="A143" i="92"/>
  <c r="A142"/>
  <c r="A141"/>
  <c r="A138"/>
  <c r="A137"/>
  <c r="A136"/>
  <c r="A135"/>
  <c r="A134"/>
  <c r="A124"/>
  <c r="A123"/>
  <c r="A122"/>
  <c r="A118"/>
  <c r="A117"/>
  <c r="A116"/>
  <c r="A115"/>
  <c r="A114"/>
  <c r="A102"/>
  <c r="A101"/>
  <c r="A100"/>
  <c r="A97"/>
  <c r="A96"/>
  <c r="A95"/>
  <c r="A94"/>
  <c r="A93"/>
  <c r="A83"/>
  <c r="A82"/>
  <c r="A81"/>
  <c r="A78"/>
  <c r="A77"/>
  <c r="A76"/>
  <c r="A75"/>
  <c r="A74"/>
  <c r="O64"/>
  <c r="N64"/>
  <c r="M64"/>
  <c r="L64"/>
  <c r="O63"/>
  <c r="N63"/>
  <c r="M63"/>
  <c r="L63"/>
  <c r="O62"/>
  <c r="N62"/>
  <c r="M62"/>
  <c r="L62"/>
  <c r="O61"/>
  <c r="N61"/>
  <c r="M61"/>
  <c r="L61"/>
  <c r="O60"/>
  <c r="N60"/>
  <c r="M60"/>
  <c r="L60"/>
  <c r="K60"/>
  <c r="J60"/>
  <c r="I60"/>
  <c r="H60"/>
  <c r="G60"/>
  <c r="F60"/>
  <c r="E60"/>
  <c r="O57"/>
  <c r="N57"/>
  <c r="M57"/>
  <c r="L57"/>
  <c r="O56"/>
  <c r="N56"/>
  <c r="M56"/>
  <c r="L56"/>
  <c r="O55"/>
  <c r="N55"/>
  <c r="M55"/>
  <c r="L55"/>
  <c r="O54"/>
  <c r="N54"/>
  <c r="M54"/>
  <c r="L54"/>
  <c r="O53"/>
  <c r="N53"/>
  <c r="M53"/>
  <c r="L53"/>
  <c r="K53"/>
  <c r="J53"/>
  <c r="I53"/>
  <c r="H53"/>
  <c r="G53"/>
  <c r="F53"/>
  <c r="E53"/>
  <c r="O50"/>
  <c r="N50"/>
  <c r="M50"/>
  <c r="L50"/>
  <c r="O49"/>
  <c r="N49"/>
  <c r="M49"/>
  <c r="L49"/>
  <c r="O48"/>
  <c r="N48"/>
  <c r="M48"/>
  <c r="L48"/>
  <c r="O47"/>
  <c r="N47"/>
  <c r="M47"/>
  <c r="L47"/>
  <c r="O46"/>
  <c r="N46"/>
  <c r="M46"/>
  <c r="L46"/>
  <c r="K46"/>
  <c r="J46"/>
  <c r="I46"/>
  <c r="H46"/>
  <c r="G46"/>
  <c r="F46"/>
  <c r="E46"/>
  <c r="O42"/>
  <c r="N42"/>
  <c r="M42"/>
  <c r="L42"/>
  <c r="O41"/>
  <c r="N41"/>
  <c r="M41"/>
  <c r="L41"/>
  <c r="O40"/>
  <c r="N40"/>
  <c r="M40"/>
  <c r="L40"/>
  <c r="O39"/>
  <c r="N39"/>
  <c r="M39"/>
  <c r="L39"/>
  <c r="O38"/>
  <c r="N38"/>
  <c r="M38"/>
  <c r="L38"/>
  <c r="K38"/>
  <c r="O35"/>
  <c r="N35"/>
  <c r="M35"/>
  <c r="L35"/>
  <c r="O34"/>
  <c r="N34"/>
  <c r="M34"/>
  <c r="L34"/>
  <c r="O33"/>
  <c r="N33"/>
  <c r="M33"/>
  <c r="L33"/>
  <c r="O32"/>
  <c r="N32"/>
  <c r="M32"/>
  <c r="L32"/>
  <c r="O31"/>
  <c r="N31"/>
  <c r="M31"/>
  <c r="L31"/>
  <c r="K31"/>
  <c r="O28"/>
  <c r="N28"/>
  <c r="M28"/>
  <c r="L28"/>
  <c r="O27"/>
  <c r="N27"/>
  <c r="M27"/>
  <c r="L27"/>
  <c r="O26"/>
  <c r="N26"/>
  <c r="M26"/>
  <c r="L26"/>
  <c r="O25"/>
  <c r="N25"/>
  <c r="M25"/>
  <c r="L25"/>
  <c r="O24"/>
  <c r="N24"/>
  <c r="M24"/>
  <c r="L24"/>
  <c r="K24"/>
  <c r="O21"/>
  <c r="N21"/>
  <c r="M21"/>
  <c r="L21"/>
  <c r="O20"/>
  <c r="N20"/>
  <c r="M20"/>
  <c r="L20"/>
  <c r="O19"/>
  <c r="N19"/>
  <c r="M19"/>
  <c r="L19"/>
  <c r="O18"/>
  <c r="N18"/>
  <c r="M18"/>
  <c r="L18"/>
  <c r="O17"/>
  <c r="N17"/>
  <c r="M17"/>
  <c r="L17"/>
  <c r="K17"/>
  <c r="O14"/>
  <c r="N14"/>
  <c r="M14"/>
  <c r="L14"/>
  <c r="O13"/>
  <c r="N13"/>
  <c r="M13"/>
  <c r="L13"/>
  <c r="O12"/>
  <c r="N12"/>
  <c r="M12"/>
  <c r="L12"/>
  <c r="O11"/>
  <c r="N11"/>
  <c r="M11"/>
  <c r="L11"/>
  <c r="N10"/>
  <c r="M10"/>
  <c r="L10"/>
  <c r="K10"/>
  <c r="I47" i="91"/>
  <c r="H47"/>
  <c r="G47"/>
  <c r="F47"/>
  <c r="E47"/>
  <c r="H46"/>
  <c r="G46"/>
  <c r="F46"/>
  <c r="E46"/>
  <c r="L35" i="90"/>
  <c r="K35"/>
  <c r="J35"/>
  <c r="I35"/>
  <c r="H35"/>
  <c r="G35"/>
  <c r="F35"/>
  <c r="E35"/>
  <c r="D35"/>
  <c r="C35"/>
  <c r="L25"/>
  <c r="K25"/>
  <c r="J25"/>
  <c r="I25"/>
  <c r="H25"/>
  <c r="G25"/>
  <c r="F25"/>
  <c r="E25"/>
  <c r="D25"/>
  <c r="C25"/>
  <c r="L24"/>
  <c r="K24"/>
  <c r="J24"/>
  <c r="I24"/>
  <c r="H24"/>
  <c r="G24"/>
  <c r="F24"/>
  <c r="E24"/>
  <c r="D24"/>
  <c r="C24"/>
  <c r="L17"/>
  <c r="K17"/>
  <c r="J17"/>
  <c r="I17"/>
  <c r="H17"/>
  <c r="G17"/>
  <c r="F17"/>
  <c r="E17"/>
  <c r="D17"/>
  <c r="C17"/>
  <c r="BI26" i="89"/>
  <c r="BH26"/>
  <c r="BG26"/>
  <c r="BF26"/>
  <c r="BE26"/>
  <c r="BD26"/>
  <c r="BC26"/>
  <c r="BB26"/>
  <c r="BA26"/>
  <c r="BI24"/>
  <c r="BH24"/>
  <c r="BG24"/>
  <c r="BF24"/>
  <c r="BE24"/>
  <c r="BD24"/>
  <c r="BC24"/>
  <c r="BB24"/>
  <c r="BA24"/>
  <c r="AZ24"/>
  <c r="AY24"/>
  <c r="AX24"/>
  <c r="AW24"/>
  <c r="AV24"/>
  <c r="AU24"/>
  <c r="AT24"/>
  <c r="AS24"/>
  <c r="AR24"/>
  <c r="AQ24"/>
  <c r="AP24"/>
  <c r="AO24"/>
  <c r="AN24"/>
  <c r="AM24"/>
  <c r="AL24"/>
  <c r="AK24"/>
  <c r="AJ24"/>
  <c r="AI24"/>
  <c r="AH24"/>
  <c r="AG24"/>
  <c r="AF24"/>
  <c r="AE24"/>
  <c r="AD24"/>
  <c r="AC24"/>
  <c r="AB24"/>
  <c r="AA24"/>
  <c r="Z24"/>
  <c r="Y24"/>
  <c r="X24"/>
  <c r="W24"/>
  <c r="V24"/>
  <c r="U24"/>
  <c r="T24"/>
  <c r="S24"/>
  <c r="R24"/>
  <c r="Q24"/>
  <c r="P24"/>
  <c r="O24"/>
  <c r="N24"/>
  <c r="M24"/>
  <c r="L24"/>
  <c r="K24"/>
  <c r="J24"/>
  <c r="I24"/>
  <c r="H24"/>
  <c r="G24"/>
  <c r="BI23"/>
  <c r="BH23"/>
  <c r="BG23"/>
  <c r="BF23"/>
  <c r="BE23"/>
  <c r="BD23"/>
  <c r="BC23"/>
  <c r="BB23"/>
  <c r="BA23"/>
  <c r="AZ23"/>
  <c r="AY23"/>
  <c r="AX23"/>
  <c r="AW23"/>
  <c r="AV23"/>
  <c r="AU23"/>
  <c r="AT23"/>
  <c r="AS23"/>
  <c r="AR23"/>
  <c r="AQ23"/>
  <c r="AP23"/>
  <c r="AO23"/>
  <c r="AN23"/>
  <c r="AM23"/>
  <c r="AL23"/>
  <c r="AK23"/>
  <c r="AJ23"/>
  <c r="AI23"/>
  <c r="AH23"/>
  <c r="AG23"/>
  <c r="AF23"/>
  <c r="AE23"/>
  <c r="AD23"/>
  <c r="AC23"/>
  <c r="AB23"/>
  <c r="AA23"/>
  <c r="Z23"/>
  <c r="Y23"/>
  <c r="X23"/>
  <c r="W23"/>
  <c r="V23"/>
  <c r="U23"/>
  <c r="T23"/>
  <c r="S23"/>
  <c r="R23"/>
  <c r="Q23"/>
  <c r="P23"/>
  <c r="O23"/>
  <c r="N23"/>
  <c r="M23"/>
  <c r="L23"/>
  <c r="K23"/>
  <c r="J23"/>
  <c r="I23"/>
  <c r="H23"/>
  <c r="G23"/>
  <c r="BI22"/>
  <c r="BH22"/>
  <c r="BG22"/>
  <c r="BF22"/>
  <c r="BE22"/>
  <c r="BD22"/>
  <c r="BC22"/>
  <c r="BB22"/>
  <c r="BA22"/>
  <c r="AZ22"/>
  <c r="AY22"/>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J22"/>
  <c r="I22"/>
  <c r="H22"/>
  <c r="G22"/>
  <c r="BI21"/>
  <c r="BH21"/>
  <c r="BG21"/>
  <c r="BF21"/>
  <c r="BE21"/>
  <c r="BD21"/>
  <c r="BC21"/>
  <c r="BB21"/>
  <c r="BA21"/>
  <c r="AZ21"/>
  <c r="AY21"/>
  <c r="AX21"/>
  <c r="AW21"/>
  <c r="AV21"/>
  <c r="AU21"/>
  <c r="AT21"/>
  <c r="AS21"/>
  <c r="AR21"/>
  <c r="AQ21"/>
  <c r="AP21"/>
  <c r="AO21"/>
  <c r="AN21"/>
  <c r="AM21"/>
  <c r="AL21"/>
  <c r="AK21"/>
  <c r="AJ21"/>
  <c r="AI21"/>
  <c r="AH21"/>
  <c r="AH26" s="1"/>
  <c r="AG21"/>
  <c r="AF21"/>
  <c r="AE21"/>
  <c r="AD21"/>
  <c r="AD26" s="1"/>
  <c r="AC21"/>
  <c r="AB21"/>
  <c r="AA21"/>
  <c r="Z21"/>
  <c r="Z26" s="1"/>
  <c r="Y21"/>
  <c r="X21"/>
  <c r="W21"/>
  <c r="V21"/>
  <c r="U21"/>
  <c r="T21"/>
  <c r="S21"/>
  <c r="R21"/>
  <c r="R26" s="1"/>
  <c r="Q21"/>
  <c r="P21"/>
  <c r="O21"/>
  <c r="N21"/>
  <c r="N26" s="1"/>
  <c r="M21"/>
  <c r="L21"/>
  <c r="K21"/>
  <c r="J21"/>
  <c r="J26" s="1"/>
  <c r="I21"/>
  <c r="H21"/>
  <c r="G21"/>
  <c r="BI20"/>
  <c r="BH20"/>
  <c r="BG20"/>
  <c r="BF20"/>
  <c r="BE20"/>
  <c r="BD20"/>
  <c r="BC20"/>
  <c r="BB20"/>
  <c r="BA20"/>
  <c r="AZ20"/>
  <c r="AY20"/>
  <c r="AX20"/>
  <c r="AW20"/>
  <c r="AV20"/>
  <c r="AU20"/>
  <c r="AT20"/>
  <c r="AS20"/>
  <c r="AR20"/>
  <c r="AQ20"/>
  <c r="AP20"/>
  <c r="AO20"/>
  <c r="AN20"/>
  <c r="AM20"/>
  <c r="AL20"/>
  <c r="AK20"/>
  <c r="AK26" s="1"/>
  <c r="AJ20"/>
  <c r="AI20"/>
  <c r="AH20"/>
  <c r="AG20"/>
  <c r="AG26" s="1"/>
  <c r="AF20"/>
  <c r="AE20"/>
  <c r="AD20"/>
  <c r="AC20"/>
  <c r="AC26" s="1"/>
  <c r="AB20"/>
  <c r="AA20"/>
  <c r="Z20"/>
  <c r="Y20"/>
  <c r="Y26" s="1"/>
  <c r="X20"/>
  <c r="W20"/>
  <c r="V20"/>
  <c r="U20"/>
  <c r="T20"/>
  <c r="S20"/>
  <c r="R20"/>
  <c r="Q20"/>
  <c r="Q26" s="1"/>
  <c r="P20"/>
  <c r="O20"/>
  <c r="N20"/>
  <c r="M20"/>
  <c r="M26" s="1"/>
  <c r="L20"/>
  <c r="K20"/>
  <c r="J20"/>
  <c r="I20"/>
  <c r="I26" s="1"/>
  <c r="H20"/>
  <c r="G20"/>
  <c r="BI19"/>
  <c r="BH19"/>
  <c r="BG19"/>
  <c r="BF19"/>
  <c r="BE19"/>
  <c r="BD19"/>
  <c r="BC19"/>
  <c r="BB19"/>
  <c r="BA19"/>
  <c r="AZ19"/>
  <c r="AY19"/>
  <c r="AX19"/>
  <c r="AW19"/>
  <c r="AV19"/>
  <c r="AU19"/>
  <c r="AT19"/>
  <c r="AS19"/>
  <c r="AR19"/>
  <c r="AQ19"/>
  <c r="AP19"/>
  <c r="AO19"/>
  <c r="AN19"/>
  <c r="AM19"/>
  <c r="AL19"/>
  <c r="AK19"/>
  <c r="AJ19"/>
  <c r="AJ26" s="1"/>
  <c r="AI19"/>
  <c r="AI26" s="1"/>
  <c r="AH19"/>
  <c r="AG19"/>
  <c r="AF19"/>
  <c r="AF26" s="1"/>
  <c r="AE19"/>
  <c r="AE26" s="1"/>
  <c r="AD19"/>
  <c r="AC19"/>
  <c r="AB19"/>
  <c r="AB26" s="1"/>
  <c r="AA19"/>
  <c r="AA26" s="1"/>
  <c r="Z19"/>
  <c r="Y19"/>
  <c r="X19"/>
  <c r="X26" s="1"/>
  <c r="W19"/>
  <c r="W26" s="1"/>
  <c r="V19"/>
  <c r="U19"/>
  <c r="T19"/>
  <c r="S19"/>
  <c r="S26" s="1"/>
  <c r="R19"/>
  <c r="Q19"/>
  <c r="P19"/>
  <c r="P26" s="1"/>
  <c r="O19"/>
  <c r="O26" s="1"/>
  <c r="N19"/>
  <c r="M19"/>
  <c r="L19"/>
  <c r="L26" s="1"/>
  <c r="K19"/>
  <c r="K26" s="1"/>
  <c r="J19"/>
  <c r="I19"/>
  <c r="H19"/>
  <c r="H26" s="1"/>
  <c r="G19"/>
  <c r="G26" s="1"/>
  <c r="Q16"/>
  <c r="P16"/>
  <c r="M16"/>
  <c r="L16"/>
  <c r="K16"/>
  <c r="J16"/>
  <c r="J15" s="1"/>
  <c r="I16"/>
  <c r="I15" s="1"/>
  <c r="H16"/>
  <c r="H15" s="1"/>
  <c r="G16"/>
  <c r="BI15"/>
  <c r="BH15"/>
  <c r="BG15"/>
  <c r="BF15"/>
  <c r="BE15"/>
  <c r="BD15"/>
  <c r="BC15"/>
  <c r="BB15"/>
  <c r="BA15"/>
  <c r="AZ15"/>
  <c r="AY15"/>
  <c r="AX15"/>
  <c r="AW15"/>
  <c r="AV15"/>
  <c r="AU15"/>
  <c r="AT15"/>
  <c r="AS15"/>
  <c r="AR15"/>
  <c r="AQ15"/>
  <c r="AP15"/>
  <c r="AO15"/>
  <c r="AN15"/>
  <c r="AM15"/>
  <c r="AL15"/>
  <c r="AK15"/>
  <c r="AK16" s="1"/>
  <c r="AJ15"/>
  <c r="AJ16" s="1"/>
  <c r="AI15"/>
  <c r="AI16" s="1"/>
  <c r="AH15"/>
  <c r="AG15"/>
  <c r="AG16" s="1"/>
  <c r="AF15"/>
  <c r="AF16" s="1"/>
  <c r="AE15"/>
  <c r="AE16" s="1"/>
  <c r="AD15"/>
  <c r="AC15"/>
  <c r="AB15"/>
  <c r="AA15"/>
  <c r="Z15"/>
  <c r="Y15"/>
  <c r="X15"/>
  <c r="W15"/>
  <c r="V15"/>
  <c r="U15"/>
  <c r="T15"/>
  <c r="S15"/>
  <c r="R15"/>
  <c r="Q15"/>
  <c r="P15"/>
  <c r="O15"/>
  <c r="N15"/>
  <c r="M15"/>
  <c r="L15"/>
  <c r="BI14"/>
  <c r="BI16" s="1"/>
  <c r="BH14"/>
  <c r="BH16" s="1"/>
  <c r="BG14"/>
  <c r="BG16" s="1"/>
  <c r="BF14"/>
  <c r="BF16" s="1"/>
  <c r="BE14"/>
  <c r="BE16" s="1"/>
  <c r="BD14"/>
  <c r="BD16" s="1"/>
  <c r="BC14"/>
  <c r="BC16" s="1"/>
  <c r="BB14"/>
  <c r="BB16" s="1"/>
  <c r="BA14"/>
  <c r="BA16" s="1"/>
  <c r="AZ14"/>
  <c r="AY14"/>
  <c r="AX14"/>
  <c r="AX16" s="1"/>
  <c r="AW14"/>
  <c r="AV14"/>
  <c r="AU14"/>
  <c r="AT14"/>
  <c r="AT16" s="1"/>
  <c r="AS14"/>
  <c r="AR14"/>
  <c r="AQ14"/>
  <c r="AP14"/>
  <c r="AP16" s="1"/>
  <c r="AO14"/>
  <c r="AN14"/>
  <c r="AM14"/>
  <c r="AL14"/>
  <c r="AL16" s="1"/>
  <c r="AK14"/>
  <c r="AJ14"/>
  <c r="AI14"/>
  <c r="AH14"/>
  <c r="AH16" s="1"/>
  <c r="AG14"/>
  <c r="AF14"/>
  <c r="AE14"/>
  <c r="AD14"/>
  <c r="AD16" s="1"/>
  <c r="AC14"/>
  <c r="AB14"/>
  <c r="AA14"/>
  <c r="Z14"/>
  <c r="Z16" s="1"/>
  <c r="Y14"/>
  <c r="X14"/>
  <c r="S14"/>
  <c r="S16" s="1"/>
  <c r="R14"/>
  <c r="R16" s="1"/>
  <c r="Q14"/>
  <c r="P14"/>
  <c r="O14"/>
  <c r="O16" s="1"/>
  <c r="N14"/>
  <c r="N16" s="1"/>
  <c r="M14"/>
  <c r="L14"/>
  <c r="K14"/>
  <c r="K15" s="1"/>
  <c r="J14"/>
  <c r="I14"/>
  <c r="H14"/>
  <c r="G14"/>
  <c r="G15" s="1"/>
  <c r="BI11"/>
  <c r="BH11"/>
  <c r="BG11"/>
  <c r="BF11"/>
  <c r="BE11"/>
  <c r="BD11"/>
  <c r="BC11"/>
  <c r="BB11"/>
  <c r="BA11"/>
  <c r="AZ11"/>
  <c r="AY11"/>
  <c r="AX11"/>
  <c r="AW11"/>
  <c r="AV11"/>
  <c r="AU11"/>
  <c r="AT11"/>
  <c r="AS11"/>
  <c r="AR11"/>
  <c r="AQ11"/>
  <c r="AP11"/>
  <c r="AO11"/>
  <c r="AN11"/>
  <c r="AM11"/>
  <c r="AL11"/>
  <c r="AK11"/>
  <c r="AJ11"/>
  <c r="AI11"/>
  <c r="AH11"/>
  <c r="AG11"/>
  <c r="AF11"/>
  <c r="AE11"/>
  <c r="AD11"/>
  <c r="AC11"/>
  <c r="AB11"/>
  <c r="AA11"/>
  <c r="Z11"/>
  <c r="Y11"/>
  <c r="X11"/>
  <c r="W11"/>
  <c r="V11"/>
  <c r="U11"/>
  <c r="T11"/>
  <c r="S11"/>
  <c r="R11"/>
  <c r="Q11"/>
  <c r="P11"/>
  <c r="O11"/>
  <c r="N11"/>
  <c r="M11"/>
  <c r="L11"/>
  <c r="BI10"/>
  <c r="BH10"/>
  <c r="BG10"/>
  <c r="BF10"/>
  <c r="BE10"/>
  <c r="BD10"/>
  <c r="BC10"/>
  <c r="BB10"/>
  <c r="BA10"/>
  <c r="AZ10"/>
  <c r="AY10"/>
  <c r="AX10"/>
  <c r="AW10"/>
  <c r="AV10"/>
  <c r="AU10"/>
  <c r="AT10"/>
  <c r="AS10"/>
  <c r="AR10"/>
  <c r="AQ10"/>
  <c r="AP10"/>
  <c r="AO10"/>
  <c r="AN10"/>
  <c r="AM10"/>
  <c r="AL10"/>
  <c r="AK10"/>
  <c r="AJ10"/>
  <c r="AI10"/>
  <c r="AH10"/>
  <c r="AG10"/>
  <c r="AF10"/>
  <c r="AE10"/>
  <c r="AD10"/>
  <c r="AC10"/>
  <c r="AB10"/>
  <c r="AA10"/>
  <c r="Z10"/>
  <c r="Y10"/>
  <c r="X10"/>
  <c r="W10"/>
  <c r="V10"/>
  <c r="U10"/>
  <c r="T10"/>
  <c r="S10"/>
  <c r="R10"/>
  <c r="Q10"/>
  <c r="P10"/>
  <c r="O10"/>
  <c r="N10"/>
  <c r="M10"/>
  <c r="L10"/>
  <c r="E7"/>
  <c r="E38" i="98"/>
  <c r="G31"/>
  <c r="F31"/>
  <c r="G30"/>
  <c r="F30"/>
  <c r="G29"/>
  <c r="F29"/>
  <c r="G28"/>
  <c r="F28"/>
  <c r="G27"/>
  <c r="F27"/>
  <c r="G26"/>
  <c r="F26"/>
  <c r="G25"/>
  <c r="F25"/>
  <c r="G24"/>
  <c r="F24"/>
  <c r="G23"/>
  <c r="F23"/>
  <c r="G22"/>
  <c r="F22"/>
  <c r="G21"/>
  <c r="F21"/>
  <c r="G20"/>
  <c r="F20"/>
  <c r="E13"/>
  <c r="E11"/>
  <c r="D13" i="87"/>
  <c r="D22" s="1"/>
  <c r="D12"/>
  <c r="D24" i="70"/>
  <c r="D23"/>
  <c r="D13"/>
  <c r="D27" i="71"/>
  <c r="D26"/>
  <c r="D25"/>
  <c r="D14"/>
  <c r="D13"/>
  <c r="C117" i="80"/>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H33"/>
  <c r="E33"/>
  <c r="E45" s="1"/>
  <c r="A33"/>
  <c r="H32"/>
  <c r="E32"/>
  <c r="E44" s="1"/>
  <c r="A32"/>
  <c r="H31"/>
  <c r="E31"/>
  <c r="E43" s="1"/>
  <c r="A31"/>
  <c r="H30"/>
  <c r="E30"/>
  <c r="E42" s="1"/>
  <c r="A30"/>
  <c r="H29"/>
  <c r="E29"/>
  <c r="E41" s="1"/>
  <c r="A29"/>
  <c r="H28"/>
  <c r="E28"/>
  <c r="E40" s="1"/>
  <c r="A28"/>
  <c r="H27"/>
  <c r="E27"/>
  <c r="E39" s="1"/>
  <c r="E51" s="1"/>
  <c r="A27"/>
  <c r="H26"/>
  <c r="E26"/>
  <c r="E38" s="1"/>
  <c r="E50" s="1"/>
  <c r="A26"/>
  <c r="H25"/>
  <c r="E25"/>
  <c r="E37" s="1"/>
  <c r="E49" s="1"/>
  <c r="A25"/>
  <c r="H24"/>
  <c r="E24"/>
  <c r="E36" s="1"/>
  <c r="E48" s="1"/>
  <c r="A24"/>
  <c r="H23"/>
  <c r="E23"/>
  <c r="E35" s="1"/>
  <c r="E47" s="1"/>
  <c r="A23"/>
  <c r="H22"/>
  <c r="E22"/>
  <c r="A22"/>
  <c r="C17"/>
  <c r="F166" i="81"/>
  <c r="D166"/>
  <c r="F165"/>
  <c r="D165"/>
  <c r="F164"/>
  <c r="D164"/>
  <c r="F163"/>
  <c r="D163"/>
  <c r="F162"/>
  <c r="D162"/>
  <c r="F161"/>
  <c r="D161"/>
  <c r="F160"/>
  <c r="D160"/>
  <c r="F159"/>
  <c r="D159"/>
  <c r="F158"/>
  <c r="D158"/>
  <c r="F157"/>
  <c r="D157"/>
  <c r="F156"/>
  <c r="D156"/>
  <c r="F155"/>
  <c r="D155"/>
  <c r="D154"/>
  <c r="D153"/>
  <c r="B150"/>
  <c r="A150"/>
  <c r="B149"/>
  <c r="A149"/>
  <c r="B148"/>
  <c r="A148"/>
  <c r="B147"/>
  <c r="A147"/>
  <c r="B146"/>
  <c r="A146"/>
  <c r="B145"/>
  <c r="A145"/>
  <c r="B144"/>
  <c r="A144"/>
  <c r="B143"/>
  <c r="A143"/>
  <c r="B142"/>
  <c r="A142"/>
  <c r="B141"/>
  <c r="A141"/>
  <c r="B140"/>
  <c r="A140"/>
  <c r="B139"/>
  <c r="A139"/>
  <c r="B138"/>
  <c r="A138"/>
  <c r="B137"/>
  <c r="A137"/>
  <c r="B136"/>
  <c r="A136"/>
  <c r="B135"/>
  <c r="A135"/>
  <c r="B134"/>
  <c r="A134"/>
  <c r="B133"/>
  <c r="A133"/>
  <c r="B132"/>
  <c r="A132"/>
  <c r="B131"/>
  <c r="A131"/>
  <c r="B130"/>
  <c r="A130"/>
  <c r="B129"/>
  <c r="A129"/>
  <c r="B128"/>
  <c r="A128"/>
  <c r="B127"/>
  <c r="A127"/>
  <c r="B126"/>
  <c r="A126"/>
  <c r="B125"/>
  <c r="A125"/>
  <c r="B124"/>
  <c r="A124"/>
  <c r="B123"/>
  <c r="A123"/>
  <c r="B122"/>
  <c r="A122"/>
  <c r="B121"/>
  <c r="A121"/>
  <c r="B120"/>
  <c r="A120"/>
  <c r="B119"/>
  <c r="A119"/>
  <c r="B118"/>
  <c r="A118"/>
  <c r="B117"/>
  <c r="A117"/>
  <c r="B116"/>
  <c r="A116"/>
  <c r="B115"/>
  <c r="A115"/>
  <c r="B114"/>
  <c r="A114"/>
  <c r="B113"/>
  <c r="A113"/>
  <c r="B112"/>
  <c r="A112"/>
  <c r="B111"/>
  <c r="A111"/>
  <c r="B110"/>
  <c r="A110"/>
  <c r="B109"/>
  <c r="A109"/>
  <c r="B108"/>
  <c r="A108"/>
  <c r="B107"/>
  <c r="A107"/>
  <c r="B106"/>
  <c r="A106"/>
  <c r="B105"/>
  <c r="A105"/>
  <c r="B104"/>
  <c r="A104"/>
  <c r="B103"/>
  <c r="A103"/>
  <c r="B102"/>
  <c r="A102"/>
  <c r="B101"/>
  <c r="A101"/>
  <c r="B100"/>
  <c r="A100"/>
  <c r="B99"/>
  <c r="A99"/>
  <c r="B98"/>
  <c r="A98"/>
  <c r="B97"/>
  <c r="A97"/>
  <c r="B96"/>
  <c r="A96"/>
  <c r="B95"/>
  <c r="A95"/>
  <c r="B94"/>
  <c r="A94"/>
  <c r="B93"/>
  <c r="A93"/>
  <c r="B92"/>
  <c r="A92"/>
  <c r="B91"/>
  <c r="A91"/>
  <c r="B90"/>
  <c r="A90"/>
  <c r="B89"/>
  <c r="A89"/>
  <c r="B88"/>
  <c r="A88"/>
  <c r="B87"/>
  <c r="A87"/>
  <c r="B86"/>
  <c r="A86"/>
  <c r="B85"/>
  <c r="A85"/>
  <c r="B84"/>
  <c r="A84"/>
  <c r="B83"/>
  <c r="A83"/>
  <c r="B82"/>
  <c r="A82"/>
  <c r="B81"/>
  <c r="A81"/>
  <c r="B80"/>
  <c r="A80"/>
  <c r="B79"/>
  <c r="A79"/>
  <c r="B78"/>
  <c r="A78"/>
  <c r="B77"/>
  <c r="A77"/>
  <c r="B76"/>
  <c r="A76"/>
  <c r="B75"/>
  <c r="A75"/>
  <c r="B74"/>
  <c r="A74"/>
  <c r="B73"/>
  <c r="A73"/>
  <c r="B72"/>
  <c r="A72"/>
  <c r="B71"/>
  <c r="A71"/>
  <c r="F70"/>
  <c r="B70"/>
  <c r="A70"/>
  <c r="B69"/>
  <c r="A69"/>
  <c r="B68"/>
  <c r="A68"/>
  <c r="F67"/>
  <c r="B67"/>
  <c r="A67"/>
  <c r="F66"/>
  <c r="B66"/>
  <c r="A66"/>
  <c r="B65"/>
  <c r="A65"/>
  <c r="B64"/>
  <c r="A64"/>
  <c r="F63"/>
  <c r="B63"/>
  <c r="A63"/>
  <c r="F62"/>
  <c r="B62"/>
  <c r="A62"/>
  <c r="B61"/>
  <c r="A61"/>
  <c r="B60"/>
  <c r="A60"/>
  <c r="F59"/>
  <c r="B59"/>
  <c r="A59"/>
  <c r="F58"/>
  <c r="B58"/>
  <c r="A58"/>
  <c r="B57"/>
  <c r="A57"/>
  <c r="F56"/>
  <c r="B56"/>
  <c r="A56"/>
  <c r="F55"/>
  <c r="B55"/>
  <c r="A55"/>
  <c r="F54"/>
  <c r="B54"/>
  <c r="A54"/>
  <c r="F53"/>
  <c r="B53"/>
  <c r="A53"/>
  <c r="F52"/>
  <c r="H52" s="1"/>
  <c r="B52"/>
  <c r="A52"/>
  <c r="H51"/>
  <c r="F51"/>
  <c r="L51" s="1"/>
  <c r="B51"/>
  <c r="A51"/>
  <c r="F50"/>
  <c r="H50" s="1"/>
  <c r="B50"/>
  <c r="A50"/>
  <c r="F49"/>
  <c r="B49"/>
  <c r="A49"/>
  <c r="F48"/>
  <c r="L48" s="1"/>
  <c r="B48"/>
  <c r="A48"/>
  <c r="F47"/>
  <c r="B47"/>
  <c r="A47"/>
  <c r="H46"/>
  <c r="F46"/>
  <c r="S46" s="1"/>
  <c r="B46"/>
  <c r="A46"/>
  <c r="F45"/>
  <c r="B45"/>
  <c r="A45"/>
  <c r="H44"/>
  <c r="F44"/>
  <c r="L44" s="1"/>
  <c r="B44"/>
  <c r="A44"/>
  <c r="F43"/>
  <c r="B43"/>
  <c r="A43"/>
  <c r="H42"/>
  <c r="F42"/>
  <c r="S42" s="1"/>
  <c r="B42"/>
  <c r="A42"/>
  <c r="F41"/>
  <c r="B41"/>
  <c r="A41"/>
  <c r="H40"/>
  <c r="F40"/>
  <c r="L40" s="1"/>
  <c r="B40"/>
  <c r="A40"/>
  <c r="F39"/>
  <c r="B39"/>
  <c r="A39"/>
  <c r="H38"/>
  <c r="F38"/>
  <c r="S38" s="1"/>
  <c r="B38"/>
  <c r="A38"/>
  <c r="F37"/>
  <c r="B37"/>
  <c r="A37"/>
  <c r="H36"/>
  <c r="F36"/>
  <c r="L36" s="1"/>
  <c r="B36"/>
  <c r="A36"/>
  <c r="F35"/>
  <c r="B35"/>
  <c r="A35"/>
  <c r="H34"/>
  <c r="F34"/>
  <c r="S34" s="1"/>
  <c r="B34"/>
  <c r="A34"/>
  <c r="F33"/>
  <c r="B33"/>
  <c r="A33"/>
  <c r="H32"/>
  <c r="F32"/>
  <c r="L32" s="1"/>
  <c r="B32"/>
  <c r="A32"/>
  <c r="F31"/>
  <c r="B31"/>
  <c r="A31"/>
  <c r="H30"/>
  <c r="F30"/>
  <c r="S30" s="1"/>
  <c r="B30"/>
  <c r="A30"/>
  <c r="F29"/>
  <c r="B29"/>
  <c r="A29"/>
  <c r="H28"/>
  <c r="F28"/>
  <c r="L28" s="1"/>
  <c r="B28"/>
  <c r="A28"/>
  <c r="F27"/>
  <c r="B27"/>
  <c r="A27"/>
  <c r="H26"/>
  <c r="F26"/>
  <c r="S26" s="1"/>
  <c r="B26"/>
  <c r="A26"/>
  <c r="F25"/>
  <c r="B25"/>
  <c r="A25"/>
  <c r="H24"/>
  <c r="F24"/>
  <c r="P24" s="1"/>
  <c r="B24"/>
  <c r="A24"/>
  <c r="F23"/>
  <c r="B23"/>
  <c r="A23"/>
  <c r="P22"/>
  <c r="L22"/>
  <c r="H22"/>
  <c r="F22"/>
  <c r="B22"/>
  <c r="A22"/>
  <c r="F21"/>
  <c r="B21"/>
  <c r="A21"/>
  <c r="P20"/>
  <c r="H20"/>
  <c r="F20"/>
  <c r="B20"/>
  <c r="A20"/>
  <c r="F19"/>
  <c r="B19"/>
  <c r="A19"/>
  <c r="P18"/>
  <c r="L18"/>
  <c r="F18"/>
  <c r="H18" s="1"/>
  <c r="B18"/>
  <c r="A18"/>
  <c r="F17"/>
  <c r="B17"/>
  <c r="A17"/>
  <c r="P16"/>
  <c r="F16"/>
  <c r="H16" s="1"/>
  <c r="B16"/>
  <c r="A16"/>
  <c r="F15"/>
  <c r="B15"/>
  <c r="A15"/>
  <c r="D15" i="78" s="1"/>
  <c r="F14" i="81"/>
  <c r="H14" s="1"/>
  <c r="B14"/>
  <c r="A14"/>
  <c r="U11"/>
  <c r="T11"/>
  <c r="S11"/>
  <c r="R11"/>
  <c r="Q11"/>
  <c r="P11"/>
  <c r="N11"/>
  <c r="M11"/>
  <c r="L11"/>
  <c r="J11"/>
  <c r="I11"/>
  <c r="H11"/>
  <c r="F11"/>
  <c r="G15" i="78"/>
  <c r="G14"/>
  <c r="G13"/>
  <c r="S169" i="56"/>
  <c r="C169" s="1"/>
  <c r="A169"/>
  <c r="S168"/>
  <c r="C168" s="1"/>
  <c r="A168"/>
  <c r="S167"/>
  <c r="C167" s="1"/>
  <c r="A167"/>
  <c r="S158"/>
  <c r="C158"/>
  <c r="A158"/>
  <c r="S157"/>
  <c r="C157" s="1"/>
  <c r="A157"/>
  <c r="S156"/>
  <c r="C156"/>
  <c r="A156"/>
  <c r="S143"/>
  <c r="C143" s="1"/>
  <c r="A143"/>
  <c r="S142"/>
  <c r="C142"/>
  <c r="A142"/>
  <c r="S141"/>
  <c r="C141" s="1"/>
  <c r="A141"/>
  <c r="S132"/>
  <c r="C132" s="1"/>
  <c r="A132"/>
  <c r="S131"/>
  <c r="C131" s="1"/>
  <c r="A131"/>
  <c r="S130"/>
  <c r="C130"/>
  <c r="A130"/>
  <c r="S117"/>
  <c r="C117" s="1"/>
  <c r="A117"/>
  <c r="S116"/>
  <c r="C116"/>
  <c r="A116"/>
  <c r="S115"/>
  <c r="C115" s="1"/>
  <c r="A115"/>
  <c r="S103"/>
  <c r="C103"/>
  <c r="A103"/>
  <c r="S102"/>
  <c r="C102" s="1"/>
  <c r="A102"/>
  <c r="S101"/>
  <c r="C101" s="1"/>
  <c r="A101"/>
  <c r="S89"/>
  <c r="C89" s="1"/>
  <c r="A89"/>
  <c r="S88"/>
  <c r="C88" s="1"/>
  <c r="A88"/>
  <c r="C87"/>
  <c r="A87"/>
  <c r="S73"/>
  <c r="C73"/>
  <c r="A73"/>
  <c r="S72"/>
  <c r="C72" s="1"/>
  <c r="A72"/>
  <c r="S71"/>
  <c r="C71" s="1"/>
  <c r="A71"/>
  <c r="S57"/>
  <c r="C57"/>
  <c r="A57"/>
  <c r="S56"/>
  <c r="C56"/>
  <c r="A56"/>
  <c r="S55"/>
  <c r="C55" s="1"/>
  <c r="A55"/>
  <c r="S39"/>
  <c r="C39" s="1"/>
  <c r="A39"/>
  <c r="S38"/>
  <c r="C38"/>
  <c r="A38"/>
  <c r="S37"/>
  <c r="C37"/>
  <c r="A37"/>
  <c r="C22" i="57" s="1"/>
  <c r="S24" i="56"/>
  <c r="C24" s="1"/>
  <c r="A24"/>
  <c r="S23"/>
  <c r="C23" s="1"/>
  <c r="A23"/>
  <c r="S22"/>
  <c r="C22"/>
  <c r="A22"/>
  <c r="G20" i="73"/>
  <c r="F20"/>
  <c r="E20"/>
  <c r="D20"/>
  <c r="J61" i="2"/>
  <c r="I61"/>
  <c r="H61"/>
  <c r="G61"/>
  <c r="F61"/>
  <c r="E61"/>
  <c r="D61"/>
  <c r="C61"/>
  <c r="B61"/>
  <c r="AT14" i="25"/>
  <c r="AT13"/>
  <c r="C13"/>
  <c r="AT12"/>
  <c r="C12"/>
  <c r="AT11"/>
  <c r="C11"/>
  <c r="F27" i="67"/>
  <c r="F26"/>
  <c r="F28" s="1"/>
  <c r="F22"/>
  <c r="J21"/>
  <c r="K21" s="1"/>
  <c r="D32" i="22" s="1"/>
  <c r="F21" i="67"/>
  <c r="J20"/>
  <c r="K20" s="1"/>
  <c r="K22" s="1"/>
  <c r="F20"/>
  <c r="F16"/>
  <c r="F15"/>
  <c r="K14"/>
  <c r="E32" i="22" s="1"/>
  <c r="J14" i="67"/>
  <c r="F14"/>
  <c r="J13"/>
  <c r="E30" i="22" s="1"/>
  <c r="F13" i="67"/>
  <c r="F49" i="22"/>
  <c r="F47" s="1"/>
  <c r="F17" i="63" s="1"/>
  <c r="G47" i="22"/>
  <c r="E47"/>
  <c r="E17" i="63" s="1"/>
  <c r="D47" i="22"/>
  <c r="F12"/>
  <c r="D12"/>
  <c r="E41"/>
  <c r="D41"/>
  <c r="E40"/>
  <c r="D40"/>
  <c r="E35"/>
  <c r="F39" i="61" s="1"/>
  <c r="D35" i="22"/>
  <c r="E39" i="61" s="1"/>
  <c r="D35" i="101" s="1"/>
  <c r="E35" s="1"/>
  <c r="E31" i="22"/>
  <c r="D31"/>
  <c r="F28"/>
  <c r="E28"/>
  <c r="D28"/>
  <c r="F27"/>
  <c r="E27"/>
  <c r="D27"/>
  <c r="F26"/>
  <c r="E26"/>
  <c r="D26"/>
  <c r="G8"/>
  <c r="F8"/>
  <c r="E8"/>
  <c r="D8"/>
  <c r="J28" i="63"/>
  <c r="N28" s="1"/>
  <c r="P27"/>
  <c r="O27"/>
  <c r="G27"/>
  <c r="F27"/>
  <c r="E27"/>
  <c r="D27"/>
  <c r="J26"/>
  <c r="M26" s="1"/>
  <c r="J25"/>
  <c r="N25" s="1"/>
  <c r="J17"/>
  <c r="G17"/>
  <c r="H17" s="1"/>
  <c r="D17"/>
  <c r="N16"/>
  <c r="J16"/>
  <c r="O16" s="1"/>
  <c r="G16"/>
  <c r="H16" s="1"/>
  <c r="F16"/>
  <c r="J15"/>
  <c r="M15" s="1"/>
  <c r="G15"/>
  <c r="H15" s="1"/>
  <c r="F15"/>
  <c r="J14"/>
  <c r="O14" s="1"/>
  <c r="G14"/>
  <c r="H14" s="1"/>
  <c r="F14"/>
  <c r="G10"/>
  <c r="P10" s="1"/>
  <c r="F10"/>
  <c r="O10" s="1"/>
  <c r="E10"/>
  <c r="N10" s="1"/>
  <c r="D10"/>
  <c r="M10" s="1"/>
  <c r="M9"/>
  <c r="D9"/>
  <c r="J47" i="61"/>
  <c r="J39"/>
  <c r="J36"/>
  <c r="O36" s="1"/>
  <c r="O32" i="101" s="1"/>
  <c r="J35" i="61"/>
  <c r="H35"/>
  <c r="S31" i="101" s="1"/>
  <c r="J26" i="61"/>
  <c r="H26"/>
  <c r="S22" i="101" s="1"/>
  <c r="G26" i="61"/>
  <c r="N22" i="101" s="1"/>
  <c r="P22" s="1"/>
  <c r="F26" i="61"/>
  <c r="I22" i="101" s="1"/>
  <c r="E26" i="61"/>
  <c r="D22" i="101" s="1"/>
  <c r="J25" i="61"/>
  <c r="H25"/>
  <c r="S21" i="101" s="1"/>
  <c r="U21" s="1"/>
  <c r="G25" i="61"/>
  <c r="N21" i="101" s="1"/>
  <c r="P21" s="1"/>
  <c r="F25" i="61"/>
  <c r="I21" i="101" s="1"/>
  <c r="E25" i="61"/>
  <c r="D21" i="101" s="1"/>
  <c r="J24" i="61"/>
  <c r="H24"/>
  <c r="S20" i="101" s="1"/>
  <c r="G24" i="61"/>
  <c r="N20" i="101" s="1"/>
  <c r="F24" i="61"/>
  <c r="E24"/>
  <c r="D20" i="101" s="1"/>
  <c r="E20" s="1"/>
  <c r="J22" i="61"/>
  <c r="G22"/>
  <c r="N19" i="101" s="1"/>
  <c r="F22" i="61"/>
  <c r="I19" i="101" s="1"/>
  <c r="E22" i="61"/>
  <c r="D19" i="101" s="1"/>
  <c r="E19" s="1"/>
  <c r="O21" i="61"/>
  <c r="N21"/>
  <c r="N45" i="57" s="1"/>
  <c r="M21" i="61"/>
  <c r="F18" i="101" s="1"/>
  <c r="H21" i="61"/>
  <c r="S18" i="101" s="1"/>
  <c r="U18" s="1"/>
  <c r="J20" i="61"/>
  <c r="N20" s="1"/>
  <c r="G20"/>
  <c r="N17" i="101" s="1"/>
  <c r="J19" i="61"/>
  <c r="O19" s="1"/>
  <c r="M18"/>
  <c r="J18"/>
  <c r="O18" s="1"/>
  <c r="J17"/>
  <c r="O17" s="1"/>
  <c r="E17"/>
  <c r="J16"/>
  <c r="O16" s="1"/>
  <c r="O13" i="101" s="1"/>
  <c r="Q13" s="1"/>
  <c r="H11" i="61"/>
  <c r="P11" s="1"/>
  <c r="G11"/>
  <c r="O11" s="1"/>
  <c r="F11"/>
  <c r="N11" s="1"/>
  <c r="E11"/>
  <c r="M11" s="1"/>
  <c r="H10"/>
  <c r="P10" s="1"/>
  <c r="G10"/>
  <c r="O10" s="1"/>
  <c r="F10"/>
  <c r="N10" s="1"/>
  <c r="E10"/>
  <c r="M10" s="1"/>
  <c r="P9"/>
  <c r="O9"/>
  <c r="N9"/>
  <c r="M9"/>
  <c r="H9"/>
  <c r="G9"/>
  <c r="F9"/>
  <c r="E9"/>
  <c r="F27" i="62"/>
  <c r="E27"/>
  <c r="D27"/>
  <c r="C27"/>
  <c r="D15"/>
  <c r="F14"/>
  <c r="E14"/>
  <c r="D14"/>
  <c r="C14"/>
  <c r="O62" i="57"/>
  <c r="N62"/>
  <c r="M62"/>
  <c r="O61"/>
  <c r="N61"/>
  <c r="M61"/>
  <c r="O45"/>
  <c r="J40"/>
  <c r="P35"/>
  <c r="O35"/>
  <c r="N35"/>
  <c r="M35"/>
  <c r="J35"/>
  <c r="I35"/>
  <c r="H35"/>
  <c r="F35"/>
  <c r="E35"/>
  <c r="D35"/>
  <c r="C35"/>
  <c r="C21"/>
  <c r="AU15" i="4"/>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5"/>
  <c r="C26" s="1"/>
  <c r="H2"/>
  <c r="AS17" s="1"/>
  <c r="BB123" i="3"/>
  <c r="BB124" s="1"/>
  <c r="BA123"/>
  <c r="BA124" s="1"/>
  <c r="AZ123"/>
  <c r="AZ124" s="1"/>
  <c r="AZ112" s="1"/>
  <c r="AY123"/>
  <c r="AX123"/>
  <c r="AX124" s="1"/>
  <c r="AX112" s="1"/>
  <c r="AW123"/>
  <c r="AW124" s="1"/>
  <c r="AV123"/>
  <c r="AV124" s="1"/>
  <c r="AV112" s="1"/>
  <c r="AU123"/>
  <c r="AU124" s="1"/>
  <c r="AU112" s="1"/>
  <c r="AT123"/>
  <c r="AT124" s="1"/>
  <c r="AT112" s="1"/>
  <c r="AS123"/>
  <c r="AS124" s="1"/>
  <c r="AR123"/>
  <c r="AR124" s="1"/>
  <c r="AR112" s="1"/>
  <c r="AQ123"/>
  <c r="AP123"/>
  <c r="AP124" s="1"/>
  <c r="AP112" s="1"/>
  <c r="AO123"/>
  <c r="AO124" s="1"/>
  <c r="AN123"/>
  <c r="AN124" s="1"/>
  <c r="AN112" s="1"/>
  <c r="AM123"/>
  <c r="AM124" s="1"/>
  <c r="AL123"/>
  <c r="AL124" s="1"/>
  <c r="AL112" s="1"/>
  <c r="AK123"/>
  <c r="AK124" s="1"/>
  <c r="AJ123"/>
  <c r="AJ124" s="1"/>
  <c r="AJ112" s="1"/>
  <c r="AI123"/>
  <c r="AI124" s="1"/>
  <c r="AH123"/>
  <c r="AH124" s="1"/>
  <c r="AH112" s="1"/>
  <c r="AG123"/>
  <c r="AG124" s="1"/>
  <c r="AF123"/>
  <c r="AF124" s="1"/>
  <c r="AF112" s="1"/>
  <c r="AE123"/>
  <c r="AE124" s="1"/>
  <c r="AD123"/>
  <c r="AD124" s="1"/>
  <c r="AD112" s="1"/>
  <c r="AC123"/>
  <c r="AC124" s="1"/>
  <c r="AB123"/>
  <c r="AB124" s="1"/>
  <c r="AB112" s="1"/>
  <c r="AA123"/>
  <c r="AA124" s="1"/>
  <c r="Z123"/>
  <c r="Z124" s="1"/>
  <c r="Z112" s="1"/>
  <c r="Y123"/>
  <c r="Y124" s="1"/>
  <c r="BB115"/>
  <c r="BA115"/>
  <c r="AZ115"/>
  <c r="AY115"/>
  <c r="AY116" s="1"/>
  <c r="AY109" s="1"/>
  <c r="AX115"/>
  <c r="AW115"/>
  <c r="AW116" s="1"/>
  <c r="AW109" s="1"/>
  <c r="AV115"/>
  <c r="AU115"/>
  <c r="AU116" s="1"/>
  <c r="AU109" s="1"/>
  <c r="AT115"/>
  <c r="AS115"/>
  <c r="AR115"/>
  <c r="AQ115"/>
  <c r="AQ116" s="1"/>
  <c r="AP115"/>
  <c r="AO115"/>
  <c r="AO116" s="1"/>
  <c r="AN115"/>
  <c r="AM115"/>
  <c r="AM116" s="1"/>
  <c r="AM109" s="1"/>
  <c r="AL115"/>
  <c r="AK115"/>
  <c r="AK116" s="1"/>
  <c r="AK109" s="1"/>
  <c r="AJ115"/>
  <c r="AI115"/>
  <c r="AI116" s="1"/>
  <c r="AI109" s="1"/>
  <c r="AH115"/>
  <c r="AG115"/>
  <c r="AG116" s="1"/>
  <c r="AG109" s="1"/>
  <c r="AF115"/>
  <c r="AE115"/>
  <c r="AD115"/>
  <c r="AD116" s="1"/>
  <c r="AC115"/>
  <c r="AB115"/>
  <c r="AA115"/>
  <c r="AA116" s="1"/>
  <c r="AA109" s="1"/>
  <c r="Z115"/>
  <c r="Y115"/>
  <c r="Y116" s="1"/>
  <c r="Y109" s="1"/>
  <c r="BB112"/>
  <c r="C112"/>
  <c r="C109"/>
  <c r="BB92"/>
  <c r="BB93" s="1"/>
  <c r="BA92"/>
  <c r="BA93" s="1"/>
  <c r="AZ92"/>
  <c r="AZ93" s="1"/>
  <c r="AY92"/>
  <c r="AY93" s="1"/>
  <c r="AX92"/>
  <c r="AX93" s="1"/>
  <c r="AW92"/>
  <c r="AW93" s="1"/>
  <c r="AV92"/>
  <c r="AV93" s="1"/>
  <c r="AU92"/>
  <c r="AU93" s="1"/>
  <c r="AT92"/>
  <c r="AT93" s="1"/>
  <c r="AS92"/>
  <c r="AS93" s="1"/>
  <c r="AR92"/>
  <c r="AR93" s="1"/>
  <c r="AQ92"/>
  <c r="AQ93" s="1"/>
  <c r="AP92"/>
  <c r="AP93" s="1"/>
  <c r="AO92"/>
  <c r="AO93" s="1"/>
  <c r="AN92"/>
  <c r="AN93" s="1"/>
  <c r="AM92"/>
  <c r="AM93" s="1"/>
  <c r="AL92"/>
  <c r="AL93" s="1"/>
  <c r="AK92"/>
  <c r="AK93" s="1"/>
  <c r="AJ92"/>
  <c r="AJ93" s="1"/>
  <c r="AI92"/>
  <c r="AI93" s="1"/>
  <c r="AH92"/>
  <c r="AH93" s="1"/>
  <c r="AG92"/>
  <c r="AG93" s="1"/>
  <c r="AF92"/>
  <c r="AF93" s="1"/>
  <c r="AE92"/>
  <c r="AE93" s="1"/>
  <c r="AD92"/>
  <c r="AD93" s="1"/>
  <c r="AC92"/>
  <c r="AC93" s="1"/>
  <c r="AB92"/>
  <c r="AB93" s="1"/>
  <c r="AA92"/>
  <c r="AA93" s="1"/>
  <c r="Z92"/>
  <c r="Z93" s="1"/>
  <c r="Y92"/>
  <c r="Y93" s="1"/>
  <c r="BB88"/>
  <c r="BA88"/>
  <c r="AZ88"/>
  <c r="AY88"/>
  <c r="AX88"/>
  <c r="AW88"/>
  <c r="AV88"/>
  <c r="AU88"/>
  <c r="AT88"/>
  <c r="AS88"/>
  <c r="AR88"/>
  <c r="AQ88"/>
  <c r="AP88"/>
  <c r="AO88"/>
  <c r="AN88"/>
  <c r="AM88"/>
  <c r="AL88"/>
  <c r="AK88"/>
  <c r="AJ88"/>
  <c r="AI88"/>
  <c r="AH88"/>
  <c r="AG88"/>
  <c r="AF88"/>
  <c r="AE88"/>
  <c r="AD88"/>
  <c r="AC88"/>
  <c r="AB88"/>
  <c r="AA88"/>
  <c r="Z88"/>
  <c r="Y88"/>
  <c r="G71"/>
  <c r="F71" s="1"/>
  <c r="E56"/>
  <c r="D48"/>
  <c r="H3" i="4" s="1"/>
  <c r="D47" i="3"/>
  <c r="H4" i="4" s="1"/>
  <c r="C20" s="1"/>
  <c r="D45" i="3"/>
  <c r="D40"/>
  <c r="D34"/>
  <c r="D28"/>
  <c r="AT100" s="1"/>
  <c r="D27"/>
  <c r="D12"/>
  <c r="D11"/>
  <c r="J20" i="48"/>
  <c r="G20"/>
  <c r="F20"/>
  <c r="O10"/>
  <c r="D7"/>
  <c r="I5"/>
  <c r="D5"/>
  <c r="O43" i="57" l="1"/>
  <c r="O16" i="101"/>
  <c r="Q16" s="1"/>
  <c r="M42" i="57"/>
  <c r="F15" i="101"/>
  <c r="G15" s="1"/>
  <c r="N44" i="57"/>
  <c r="J17" i="101"/>
  <c r="L17" s="1"/>
  <c r="O42" i="57"/>
  <c r="O15" i="101"/>
  <c r="Q15" s="1"/>
  <c r="U31"/>
  <c r="F13" i="78"/>
  <c r="F14"/>
  <c r="N16" i="61"/>
  <c r="J13" i="101" s="1"/>
  <c r="L13" s="1"/>
  <c r="P17"/>
  <c r="P19"/>
  <c r="P20"/>
  <c r="K21"/>
  <c r="E22"/>
  <c r="E13" i="78"/>
  <c r="E14"/>
  <c r="E15"/>
  <c r="L14" i="81"/>
  <c r="N38" s="1"/>
  <c r="P46"/>
  <c r="P48"/>
  <c r="L50"/>
  <c r="Y16" i="89"/>
  <c r="AC16"/>
  <c r="AO16"/>
  <c r="AS16"/>
  <c r="AW16"/>
  <c r="K34" i="101"/>
  <c r="K15"/>
  <c r="L33"/>
  <c r="K14"/>
  <c r="K33"/>
  <c r="K13"/>
  <c r="L18"/>
  <c r="L34"/>
  <c r="K17"/>
  <c r="K18"/>
  <c r="K16"/>
  <c r="O41" i="57"/>
  <c r="O14" i="101"/>
  <c r="Q14" s="1"/>
  <c r="V42"/>
  <c r="U33"/>
  <c r="U14"/>
  <c r="U16"/>
  <c r="U34"/>
  <c r="U17"/>
  <c r="U19"/>
  <c r="U35"/>
  <c r="U15"/>
  <c r="U32"/>
  <c r="U23"/>
  <c r="U13"/>
  <c r="E16"/>
  <c r="G34"/>
  <c r="E15"/>
  <c r="E14"/>
  <c r="E33"/>
  <c r="G33"/>
  <c r="E34"/>
  <c r="E13"/>
  <c r="E18"/>
  <c r="E17"/>
  <c r="P15"/>
  <c r="P35"/>
  <c r="P34"/>
  <c r="P33"/>
  <c r="Q33"/>
  <c r="Q18"/>
  <c r="P18"/>
  <c r="Q34"/>
  <c r="P32"/>
  <c r="Q35"/>
  <c r="P13"/>
  <c r="P16"/>
  <c r="P14"/>
  <c r="N24" i="61"/>
  <c r="J20" i="101" s="1"/>
  <c r="L20" s="1"/>
  <c r="I20"/>
  <c r="K20" s="1"/>
  <c r="N39" i="61"/>
  <c r="J35" i="101" s="1"/>
  <c r="L35" s="1"/>
  <c r="I35"/>
  <c r="K35" s="1"/>
  <c r="U20"/>
  <c r="K22"/>
  <c r="D25" i="22"/>
  <c r="E35" i="61" s="1"/>
  <c r="D31" i="101" s="1"/>
  <c r="E31" s="1"/>
  <c r="F15" i="78"/>
  <c r="P14" i="81"/>
  <c r="P50"/>
  <c r="M16" i="61"/>
  <c r="F13" i="101" s="1"/>
  <c r="G13" s="1"/>
  <c r="M17" i="61"/>
  <c r="F14" i="101" s="1"/>
  <c r="G14" s="1"/>
  <c r="M19" i="61"/>
  <c r="G18" i="101"/>
  <c r="K19"/>
  <c r="E21"/>
  <c r="U22"/>
  <c r="Q32"/>
  <c r="D30" i="22"/>
  <c r="D29" s="1"/>
  <c r="E36" i="61" s="1"/>
  <c r="E29" i="22"/>
  <c r="F36" i="61" s="1"/>
  <c r="I32" i="101" s="1"/>
  <c r="K32" s="1"/>
  <c r="D13" i="78"/>
  <c r="D14"/>
  <c r="P26" i="81"/>
  <c r="P28"/>
  <c r="R52" s="1"/>
  <c r="P30"/>
  <c r="P32"/>
  <c r="P34"/>
  <c r="P36"/>
  <c r="R36" s="1"/>
  <c r="P38"/>
  <c r="P40"/>
  <c r="P42"/>
  <c r="P44"/>
  <c r="R56" s="1"/>
  <c r="L46"/>
  <c r="H48"/>
  <c r="AB16" i="89"/>
  <c r="AN16"/>
  <c r="AR16"/>
  <c r="AV16"/>
  <c r="AZ16"/>
  <c r="AA16"/>
  <c r="AM16"/>
  <c r="AQ16"/>
  <c r="AU16"/>
  <c r="AY16"/>
  <c r="M45" i="57"/>
  <c r="N17" i="61"/>
  <c r="J14" i="101" s="1"/>
  <c r="L14" s="1"/>
  <c r="N18" i="61"/>
  <c r="J15" i="101" s="1"/>
  <c r="L15" s="1"/>
  <c r="N19" i="61"/>
  <c r="J16" i="101" s="1"/>
  <c r="L16" s="1"/>
  <c r="M20" i="61"/>
  <c r="K13" i="67"/>
  <c r="K16" s="1"/>
  <c r="O40" i="57"/>
  <c r="M39" i="61"/>
  <c r="F35" i="101" s="1"/>
  <c r="G35" s="1"/>
  <c r="N14" i="63"/>
  <c r="M25"/>
  <c r="M27" s="1"/>
  <c r="N15"/>
  <c r="M17"/>
  <c r="N26"/>
  <c r="N27" s="1"/>
  <c r="M14"/>
  <c r="P15"/>
  <c r="Q15" s="1"/>
  <c r="O15"/>
  <c r="M16"/>
  <c r="P17"/>
  <c r="Q17" s="1"/>
  <c r="P16"/>
  <c r="Q16" s="1"/>
  <c r="D24" i="71"/>
  <c r="D28" s="1"/>
  <c r="D31" s="1"/>
  <c r="D22" i="70"/>
  <c r="D25" s="1"/>
  <c r="D28" s="1"/>
  <c r="F5" i="48"/>
  <c r="X17" i="4"/>
  <c r="L52" i="81"/>
  <c r="U26" i="89"/>
  <c r="S16" i="81"/>
  <c r="S20"/>
  <c r="U20" s="1"/>
  <c r="S24"/>
  <c r="L26"/>
  <c r="S28"/>
  <c r="L30"/>
  <c r="N66" s="1"/>
  <c r="S32"/>
  <c r="L34"/>
  <c r="S36"/>
  <c r="L38"/>
  <c r="S40"/>
  <c r="L42"/>
  <c r="S44"/>
  <c r="S48"/>
  <c r="U48" s="1"/>
  <c r="P52"/>
  <c r="T14" i="89"/>
  <c r="T16" s="1"/>
  <c r="T26"/>
  <c r="V26"/>
  <c r="S14" i="81"/>
  <c r="U14" s="1"/>
  <c r="L16"/>
  <c r="U18"/>
  <c r="S18"/>
  <c r="L20"/>
  <c r="N20" s="1"/>
  <c r="S22"/>
  <c r="U34" s="1"/>
  <c r="L24"/>
  <c r="N36" s="1"/>
  <c r="P51"/>
  <c r="E10" i="89"/>
  <c r="U14"/>
  <c r="U16" s="1"/>
  <c r="V14"/>
  <c r="V16" s="1"/>
  <c r="AF17" i="4"/>
  <c r="U50" i="81"/>
  <c r="U54"/>
  <c r="N50"/>
  <c r="E11" i="89"/>
  <c r="E29" s="1"/>
  <c r="W14"/>
  <c r="W16" s="1"/>
  <c r="X16"/>
  <c r="P23" i="81"/>
  <c r="R59" s="1"/>
  <c r="H23"/>
  <c r="S23"/>
  <c r="L23"/>
  <c r="N47" s="1"/>
  <c r="J48"/>
  <c r="J36"/>
  <c r="J24"/>
  <c r="P35"/>
  <c r="H35"/>
  <c r="S35"/>
  <c r="L35"/>
  <c r="P39"/>
  <c r="H39"/>
  <c r="S39"/>
  <c r="L39"/>
  <c r="P43"/>
  <c r="H43"/>
  <c r="S43"/>
  <c r="L43"/>
  <c r="P47"/>
  <c r="H47"/>
  <c r="S47"/>
  <c r="L47"/>
  <c r="U42"/>
  <c r="J56"/>
  <c r="N56"/>
  <c r="S17"/>
  <c r="L17"/>
  <c r="P17"/>
  <c r="H17"/>
  <c r="S21"/>
  <c r="U45" s="1"/>
  <c r="L21"/>
  <c r="P21"/>
  <c r="H21"/>
  <c r="S25"/>
  <c r="U49" s="1"/>
  <c r="L25"/>
  <c r="P25"/>
  <c r="H25"/>
  <c r="S29"/>
  <c r="U41" s="1"/>
  <c r="L29"/>
  <c r="P29"/>
  <c r="H29"/>
  <c r="U29"/>
  <c r="S33"/>
  <c r="L33"/>
  <c r="P33"/>
  <c r="H33"/>
  <c r="S37"/>
  <c r="L37"/>
  <c r="P37"/>
  <c r="H37"/>
  <c r="S41"/>
  <c r="L41"/>
  <c r="P41"/>
  <c r="H41"/>
  <c r="S45"/>
  <c r="L45"/>
  <c r="P45"/>
  <c r="H45"/>
  <c r="S49"/>
  <c r="L49"/>
  <c r="P49"/>
  <c r="H49"/>
  <c r="P15"/>
  <c r="H15"/>
  <c r="J27" s="1"/>
  <c r="S15"/>
  <c r="L15"/>
  <c r="N39" s="1"/>
  <c r="J40"/>
  <c r="J28"/>
  <c r="J16"/>
  <c r="P19"/>
  <c r="H19"/>
  <c r="S19"/>
  <c r="U43" s="1"/>
  <c r="L19"/>
  <c r="U19"/>
  <c r="J44"/>
  <c r="J32"/>
  <c r="J20"/>
  <c r="P27"/>
  <c r="H27"/>
  <c r="S27"/>
  <c r="U15" s="1"/>
  <c r="L27"/>
  <c r="U27"/>
  <c r="P31"/>
  <c r="H31"/>
  <c r="S31"/>
  <c r="L31"/>
  <c r="N55" s="1"/>
  <c r="J15"/>
  <c r="U30"/>
  <c r="U38"/>
  <c r="R28"/>
  <c r="R20"/>
  <c r="R23"/>
  <c r="U28"/>
  <c r="U40"/>
  <c r="N52"/>
  <c r="R54"/>
  <c r="J54"/>
  <c r="J14"/>
  <c r="R14"/>
  <c r="N16"/>
  <c r="J18"/>
  <c r="R18"/>
  <c r="J22"/>
  <c r="R22"/>
  <c r="J26"/>
  <c r="R26"/>
  <c r="N28"/>
  <c r="J30"/>
  <c r="R30"/>
  <c r="N32"/>
  <c r="J34"/>
  <c r="R34"/>
  <c r="J38"/>
  <c r="R38"/>
  <c r="N40"/>
  <c r="J42"/>
  <c r="R42"/>
  <c r="J46"/>
  <c r="R46"/>
  <c r="J50"/>
  <c r="R50"/>
  <c r="J52"/>
  <c r="N70"/>
  <c r="N14"/>
  <c r="N22"/>
  <c r="N30"/>
  <c r="N34"/>
  <c r="N46"/>
  <c r="U58"/>
  <c r="C26" i="57"/>
  <c r="F57" i="81"/>
  <c r="F61"/>
  <c r="F65"/>
  <c r="F69"/>
  <c r="D17" i="80"/>
  <c r="F60" i="81"/>
  <c r="F64"/>
  <c r="F68"/>
  <c r="U66"/>
  <c r="U70"/>
  <c r="J58"/>
  <c r="N58"/>
  <c r="J70"/>
  <c r="J62"/>
  <c r="R58"/>
  <c r="R62"/>
  <c r="J66"/>
  <c r="R66"/>
  <c r="R70"/>
  <c r="J63"/>
  <c r="C24" i="57"/>
  <c r="C18"/>
  <c r="C23"/>
  <c r="C28"/>
  <c r="C20"/>
  <c r="C27"/>
  <c r="D28"/>
  <c r="C25"/>
  <c r="C19"/>
  <c r="E25" i="22"/>
  <c r="F35" i="61" s="1"/>
  <c r="N26"/>
  <c r="J22" i="101" s="1"/>
  <c r="L22" s="1"/>
  <c r="F25" i="22"/>
  <c r="G35" i="61" s="1"/>
  <c r="N31" i="101" s="1"/>
  <c r="P31" s="1"/>
  <c r="G23" i="61"/>
  <c r="N25"/>
  <c r="J21" i="101" s="1"/>
  <c r="L21" s="1"/>
  <c r="N17" i="63"/>
  <c r="H23" i="61"/>
  <c r="E23"/>
  <c r="M22"/>
  <c r="F19" i="101" s="1"/>
  <c r="G19" s="1"/>
  <c r="O26" i="61"/>
  <c r="O22" i="101" s="1"/>
  <c r="Q22" s="1"/>
  <c r="M24" i="61"/>
  <c r="F20" i="101" s="1"/>
  <c r="G20" s="1"/>
  <c r="D8" i="100" s="1"/>
  <c r="M35" i="61"/>
  <c r="F31" i="101" s="1"/>
  <c r="G31" s="1"/>
  <c r="G27" i="61"/>
  <c r="N23" i="101" s="1"/>
  <c r="P23" s="1"/>
  <c r="O17" i="63"/>
  <c r="O22" i="61"/>
  <c r="O19" i="101" s="1"/>
  <c r="Q19" s="1"/>
  <c r="O24" i="61"/>
  <c r="O20" i="101" s="1"/>
  <c r="Q20" s="1"/>
  <c r="R8" i="100" s="1"/>
  <c r="M26" i="61"/>
  <c r="F22" i="101" s="1"/>
  <c r="G22" s="1"/>
  <c r="F23" i="61"/>
  <c r="M25"/>
  <c r="F21" i="101" s="1"/>
  <c r="G21" s="1"/>
  <c r="P14" i="63"/>
  <c r="Q14" s="1"/>
  <c r="N22" i="61"/>
  <c r="J19" i="101" s="1"/>
  <c r="L19" s="1"/>
  <c r="O25" i="61"/>
  <c r="O21" i="101" s="1"/>
  <c r="Q21" s="1"/>
  <c r="O20" i="61"/>
  <c r="O17" i="101" s="1"/>
  <c r="Q17" s="1"/>
  <c r="D19" i="57"/>
  <c r="E19" s="1"/>
  <c r="J44" s="1"/>
  <c r="D23"/>
  <c r="D27"/>
  <c r="D18"/>
  <c r="D22"/>
  <c r="E22" s="1"/>
  <c r="J48" s="1"/>
  <c r="D26"/>
  <c r="D21"/>
  <c r="E21" s="1"/>
  <c r="D25"/>
  <c r="D15"/>
  <c r="D20"/>
  <c r="D24"/>
  <c r="E70" i="3"/>
  <c r="F70" s="1"/>
  <c r="G70" s="1"/>
  <c r="H17" i="4"/>
  <c r="AN17"/>
  <c r="P17"/>
  <c r="D30" i="3"/>
  <c r="O99"/>
  <c r="X99"/>
  <c r="AI99"/>
  <c r="AU99"/>
  <c r="F100"/>
  <c r="Q100"/>
  <c r="AC100"/>
  <c r="AL100"/>
  <c r="AW100"/>
  <c r="G99"/>
  <c r="P99"/>
  <c r="AA99"/>
  <c r="AM99"/>
  <c r="AV99"/>
  <c r="I100"/>
  <c r="U100"/>
  <c r="AD100"/>
  <c r="AO100"/>
  <c r="BA100"/>
  <c r="L17" i="4"/>
  <c r="AB17"/>
  <c r="AR17"/>
  <c r="H99" i="3"/>
  <c r="S99"/>
  <c r="AE99"/>
  <c r="AN99"/>
  <c r="AY99"/>
  <c r="M100"/>
  <c r="V100"/>
  <c r="AG100"/>
  <c r="AS100"/>
  <c r="BB100"/>
  <c r="K99"/>
  <c r="W99"/>
  <c r="AF99"/>
  <c r="AQ99"/>
  <c r="E100"/>
  <c r="N100"/>
  <c r="Y100"/>
  <c r="AK100"/>
  <c r="T17" i="4"/>
  <c r="AJ17"/>
  <c r="AZ95" i="3"/>
  <c r="AV95"/>
  <c r="AR95"/>
  <c r="AN95"/>
  <c r="AJ95"/>
  <c r="AF95"/>
  <c r="AB95"/>
  <c r="X95"/>
  <c r="T95"/>
  <c r="P95"/>
  <c r="L95"/>
  <c r="H95"/>
  <c r="AY95"/>
  <c r="AU95"/>
  <c r="AQ95"/>
  <c r="AM95"/>
  <c r="AI95"/>
  <c r="AE95"/>
  <c r="AA95"/>
  <c r="W95"/>
  <c r="S95"/>
  <c r="O95"/>
  <c r="K95"/>
  <c r="G95"/>
  <c r="E71"/>
  <c r="E86" s="1"/>
  <c r="E95"/>
  <c r="M95"/>
  <c r="U95"/>
  <c r="AC95"/>
  <c r="AK95"/>
  <c r="AS95"/>
  <c r="BA95"/>
  <c r="AZ100"/>
  <c r="AV100"/>
  <c r="AR100"/>
  <c r="AN100"/>
  <c r="AJ100"/>
  <c r="AF100"/>
  <c r="AB100"/>
  <c r="X100"/>
  <c r="T100"/>
  <c r="P100"/>
  <c r="L100"/>
  <c r="H100"/>
  <c r="BB99"/>
  <c r="AX99"/>
  <c r="AT99"/>
  <c r="AP99"/>
  <c r="AL99"/>
  <c r="AH99"/>
  <c r="AD99"/>
  <c r="Z99"/>
  <c r="V99"/>
  <c r="R99"/>
  <c r="N99"/>
  <c r="J99"/>
  <c r="F99"/>
  <c r="AY100"/>
  <c r="AU100"/>
  <c r="AQ100"/>
  <c r="AM100"/>
  <c r="AI100"/>
  <c r="AE100"/>
  <c r="AA100"/>
  <c r="W100"/>
  <c r="S100"/>
  <c r="O100"/>
  <c r="K100"/>
  <c r="G100"/>
  <c r="BA99"/>
  <c r="AW99"/>
  <c r="AS99"/>
  <c r="AO99"/>
  <c r="AK99"/>
  <c r="AG99"/>
  <c r="AC99"/>
  <c r="Y99"/>
  <c r="U99"/>
  <c r="Q99"/>
  <c r="M99"/>
  <c r="I99"/>
  <c r="F95"/>
  <c r="N95"/>
  <c r="V95"/>
  <c r="AD95"/>
  <c r="AL95"/>
  <c r="AT95"/>
  <c r="BB95"/>
  <c r="L99"/>
  <c r="T99"/>
  <c r="AB99"/>
  <c r="AJ99"/>
  <c r="AR99"/>
  <c r="AZ99"/>
  <c r="J100"/>
  <c r="R100"/>
  <c r="Z100"/>
  <c r="AH100"/>
  <c r="AP100"/>
  <c r="AX100"/>
  <c r="M17" i="4"/>
  <c r="U17"/>
  <c r="AC17"/>
  <c r="AK17"/>
  <c r="I95" i="3"/>
  <c r="Q95"/>
  <c r="Y95"/>
  <c r="AG95"/>
  <c r="AO95"/>
  <c r="AW95"/>
  <c r="G5" i="48"/>
  <c r="J95" i="3"/>
  <c r="R95"/>
  <c r="Z95"/>
  <c r="AH95"/>
  <c r="AP95"/>
  <c r="AX95"/>
  <c r="AU17" i="4"/>
  <c r="AQ17"/>
  <c r="AM17"/>
  <c r="AI17"/>
  <c r="AE17"/>
  <c r="AA17"/>
  <c r="W17"/>
  <c r="S17"/>
  <c r="O17"/>
  <c r="K17"/>
  <c r="C2"/>
  <c r="H20" s="1"/>
  <c r="AT17"/>
  <c r="AP17"/>
  <c r="AL17"/>
  <c r="AH17"/>
  <c r="AD17"/>
  <c r="Z17"/>
  <c r="V17"/>
  <c r="R17"/>
  <c r="N17"/>
  <c r="J17"/>
  <c r="I17"/>
  <c r="Q17"/>
  <c r="Y17"/>
  <c r="AG17"/>
  <c r="AO17"/>
  <c r="AD130" i="3"/>
  <c r="AL130"/>
  <c r="BB130"/>
  <c r="AI130"/>
  <c r="AB130"/>
  <c r="AB116"/>
  <c r="AF130"/>
  <c r="AF116"/>
  <c r="AJ130"/>
  <c r="AJ116"/>
  <c r="AN130"/>
  <c r="AN116"/>
  <c r="AR130"/>
  <c r="AR116"/>
  <c r="AV130"/>
  <c r="AV116"/>
  <c r="AZ130"/>
  <c r="AZ116"/>
  <c r="AO109"/>
  <c r="Y112"/>
  <c r="AC112"/>
  <c r="AO112"/>
  <c r="BA112"/>
  <c r="AA130"/>
  <c r="AD109"/>
  <c r="AG112"/>
  <c r="AQ109"/>
  <c r="AA112"/>
  <c r="AE112"/>
  <c r="AI112"/>
  <c r="AM112"/>
  <c r="AQ124"/>
  <c r="AQ130"/>
  <c r="AY124"/>
  <c r="AY130"/>
  <c r="AK112"/>
  <c r="Z130"/>
  <c r="Z116"/>
  <c r="AH130"/>
  <c r="AH116"/>
  <c r="AP130"/>
  <c r="AP116"/>
  <c r="AT130"/>
  <c r="AT116"/>
  <c r="AX130"/>
  <c r="AX116"/>
  <c r="AE130"/>
  <c r="AU130"/>
  <c r="AL116"/>
  <c r="AS112"/>
  <c r="AW112"/>
  <c r="AE116"/>
  <c r="AM130"/>
  <c r="Y130"/>
  <c r="AC130"/>
  <c r="AG130"/>
  <c r="AK130"/>
  <c r="AO130"/>
  <c r="AS130"/>
  <c r="AW130"/>
  <c r="BA130"/>
  <c r="AC116"/>
  <c r="AS116"/>
  <c r="BA116"/>
  <c r="BB116"/>
  <c r="AN26" i="89"/>
  <c r="AR26"/>
  <c r="AV26"/>
  <c r="AZ26"/>
  <c r="AL26"/>
  <c r="AP26"/>
  <c r="AT26"/>
  <c r="AX26"/>
  <c r="E20"/>
  <c r="E24"/>
  <c r="AQ26"/>
  <c r="AU26"/>
  <c r="AY26"/>
  <c r="AO26"/>
  <c r="AS26"/>
  <c r="AW26"/>
  <c r="E22"/>
  <c r="E21"/>
  <c r="E19"/>
  <c r="E23"/>
  <c r="AM26"/>
  <c r="D32" i="101" l="1"/>
  <c r="E32" s="1"/>
  <c r="M36" i="61"/>
  <c r="F32" i="101" s="1"/>
  <c r="G32" s="1"/>
  <c r="N36" i="61"/>
  <c r="J32" i="101" s="1"/>
  <c r="L32" s="1"/>
  <c r="U68" i="81"/>
  <c r="N42"/>
  <c r="N26"/>
  <c r="U36"/>
  <c r="R24"/>
  <c r="R32"/>
  <c r="R40"/>
  <c r="R27"/>
  <c r="R55"/>
  <c r="J45"/>
  <c r="J29"/>
  <c r="U16"/>
  <c r="M43" i="57"/>
  <c r="F16" i="101"/>
  <c r="G16" s="1"/>
  <c r="U60" i="81"/>
  <c r="N18"/>
  <c r="N24"/>
  <c r="U44"/>
  <c r="R48"/>
  <c r="R16"/>
  <c r="J43"/>
  <c r="J39"/>
  <c r="U33"/>
  <c r="N54"/>
  <c r="U24"/>
  <c r="K8" i="100"/>
  <c r="N35" i="61"/>
  <c r="J31" i="101" s="1"/>
  <c r="L31" s="1"/>
  <c r="I31"/>
  <c r="K31" s="1"/>
  <c r="N62" i="81"/>
  <c r="N48"/>
  <c r="U32"/>
  <c r="R44"/>
  <c r="J37"/>
  <c r="N35"/>
  <c r="U35"/>
  <c r="M44" i="57"/>
  <c r="F17" i="101"/>
  <c r="G17" s="1"/>
  <c r="N8" i="100"/>
  <c r="G8"/>
  <c r="M21" i="48"/>
  <c r="N21"/>
  <c r="K21" s="1"/>
  <c r="O21"/>
  <c r="M22"/>
  <c r="N22"/>
  <c r="K22" s="1"/>
  <c r="O22"/>
  <c r="AR20" i="4"/>
  <c r="R47" i="81"/>
  <c r="U63"/>
  <c r="J67"/>
  <c r="U64"/>
  <c r="J65"/>
  <c r="U62"/>
  <c r="N44"/>
  <c r="R19"/>
  <c r="U17"/>
  <c r="N15"/>
  <c r="U26"/>
  <c r="N31"/>
  <c r="U56"/>
  <c r="J49"/>
  <c r="N23"/>
  <c r="U46"/>
  <c r="N59"/>
  <c r="N51"/>
  <c r="E14" i="89"/>
  <c r="U52" i="81"/>
  <c r="U22"/>
  <c r="R15"/>
  <c r="U53"/>
  <c r="U25"/>
  <c r="J21"/>
  <c r="U59"/>
  <c r="E16" i="89"/>
  <c r="D11" i="87" s="1"/>
  <c r="D21" s="1"/>
  <c r="D20" s="1"/>
  <c r="L20" i="48" s="1"/>
  <c r="J57" i="81"/>
  <c r="R43"/>
  <c r="R35"/>
  <c r="U47"/>
  <c r="U37"/>
  <c r="U21"/>
  <c r="J47"/>
  <c r="U23"/>
  <c r="U51"/>
  <c r="N37"/>
  <c r="N25"/>
  <c r="N49"/>
  <c r="J53"/>
  <c r="J59"/>
  <c r="U67"/>
  <c r="N63"/>
  <c r="J69"/>
  <c r="J41"/>
  <c r="R31"/>
  <c r="J25"/>
  <c r="J17"/>
  <c r="N19"/>
  <c r="J35"/>
  <c r="J23"/>
  <c r="U31"/>
  <c r="J55"/>
  <c r="J51"/>
  <c r="R45"/>
  <c r="R33"/>
  <c r="R21"/>
  <c r="R41"/>
  <c r="R29"/>
  <c r="R17"/>
  <c r="R53"/>
  <c r="U55"/>
  <c r="R51"/>
  <c r="N43"/>
  <c r="N45"/>
  <c r="N33"/>
  <c r="N21"/>
  <c r="N53"/>
  <c r="N41"/>
  <c r="N29"/>
  <c r="N17"/>
  <c r="N27"/>
  <c r="N67"/>
  <c r="J61"/>
  <c r="R63"/>
  <c r="R39"/>
  <c r="J33"/>
  <c r="R67"/>
  <c r="R49"/>
  <c r="R37"/>
  <c r="R25"/>
  <c r="J31"/>
  <c r="U39"/>
  <c r="J19"/>
  <c r="R68"/>
  <c r="N57"/>
  <c r="N68"/>
  <c r="R57"/>
  <c r="U57"/>
  <c r="J68"/>
  <c r="E26" i="57"/>
  <c r="I59" s="1"/>
  <c r="N59" s="1"/>
  <c r="E20"/>
  <c r="I41" s="1"/>
  <c r="N41" s="1"/>
  <c r="E24"/>
  <c r="J49" s="1"/>
  <c r="O49" s="1"/>
  <c r="N65" i="81"/>
  <c r="U65"/>
  <c r="R60"/>
  <c r="N60"/>
  <c r="J64"/>
  <c r="U69"/>
  <c r="R69"/>
  <c r="R65"/>
  <c r="J60"/>
  <c r="N64"/>
  <c r="N61"/>
  <c r="U61"/>
  <c r="D119" i="80"/>
  <c r="E17"/>
  <c r="C118"/>
  <c r="R61" i="81"/>
  <c r="N69"/>
  <c r="R64"/>
  <c r="E85" i="3"/>
  <c r="H48" i="57"/>
  <c r="M48" s="1"/>
  <c r="I48"/>
  <c r="N48" s="1"/>
  <c r="E23"/>
  <c r="H78" s="1"/>
  <c r="M78" s="1"/>
  <c r="E18"/>
  <c r="I40" s="1"/>
  <c r="N40" s="1"/>
  <c r="E27"/>
  <c r="H60" s="1"/>
  <c r="M60" s="1"/>
  <c r="E28"/>
  <c r="I79" s="1"/>
  <c r="N79" s="1"/>
  <c r="E25"/>
  <c r="O35" i="61"/>
  <c r="O31" i="101" s="1"/>
  <c r="Q31" s="1"/>
  <c r="M23" i="61"/>
  <c r="O48" i="57"/>
  <c r="O44"/>
  <c r="G28" i="61"/>
  <c r="N24" i="101" s="1"/>
  <c r="P24" s="1"/>
  <c r="E27" i="61"/>
  <c r="D23" i="101" s="1"/>
  <c r="E23" s="1"/>
  <c r="O23" i="61"/>
  <c r="N23"/>
  <c r="F27"/>
  <c r="I23" i="101" s="1"/>
  <c r="K23" s="1"/>
  <c r="F28" i="61"/>
  <c r="I24" i="101" s="1"/>
  <c r="K24" s="1"/>
  <c r="H28" i="61"/>
  <c r="S24" i="101" s="1"/>
  <c r="U24" s="1"/>
  <c r="G17" i="4"/>
  <c r="AU20"/>
  <c r="AT20"/>
  <c r="AS20"/>
  <c r="BA109" i="3"/>
  <c r="AL109"/>
  <c r="AT109"/>
  <c r="AH109"/>
  <c r="AY112"/>
  <c r="AZ109"/>
  <c r="AR109"/>
  <c r="AJ109"/>
  <c r="AB109"/>
  <c r="AS109"/>
  <c r="AE109"/>
  <c r="AC109"/>
  <c r="AX109"/>
  <c r="AP109"/>
  <c r="Z109"/>
  <c r="AQ112"/>
  <c r="AV109"/>
  <c r="AN109"/>
  <c r="AF109"/>
  <c r="BB109"/>
  <c r="E26" i="89"/>
  <c r="E27" s="1"/>
  <c r="H29" i="61" l="1"/>
  <c r="S25" i="101" s="1"/>
  <c r="U25" s="1"/>
  <c r="E28" i="89"/>
  <c r="D9" i="87" s="1"/>
  <c r="F18" i="78"/>
  <c r="D18"/>
  <c r="J59" i="57"/>
  <c r="O59" s="1"/>
  <c r="G18" i="78"/>
  <c r="J76" i="57"/>
  <c r="O76" s="1"/>
  <c r="J78"/>
  <c r="O78" s="1"/>
  <c r="H76"/>
  <c r="M76" s="1"/>
  <c r="H46"/>
  <c r="M46" s="1"/>
  <c r="J46"/>
  <c r="O46" s="1"/>
  <c r="O47" s="1"/>
  <c r="I42"/>
  <c r="N42" s="1"/>
  <c r="H59"/>
  <c r="M59" s="1"/>
  <c r="I46"/>
  <c r="N46" s="1"/>
  <c r="H41"/>
  <c r="M41" s="1"/>
  <c r="I76"/>
  <c r="N76" s="1"/>
  <c r="E18" i="78"/>
  <c r="C120" i="80"/>
  <c r="F17"/>
  <c r="I60" i="57"/>
  <c r="N60" s="1"/>
  <c r="I43"/>
  <c r="N43" s="1"/>
  <c r="J77"/>
  <c r="O77" s="1"/>
  <c r="J50"/>
  <c r="O50" s="1"/>
  <c r="H50"/>
  <c r="M50" s="1"/>
  <c r="I50"/>
  <c r="N50" s="1"/>
  <c r="I78"/>
  <c r="N78" s="1"/>
  <c r="I49"/>
  <c r="N49" s="1"/>
  <c r="H49"/>
  <c r="M49" s="1"/>
  <c r="H40"/>
  <c r="M40" s="1"/>
  <c r="J79"/>
  <c r="O79" s="1"/>
  <c r="J60"/>
  <c r="O60" s="1"/>
  <c r="H79"/>
  <c r="M79" s="1"/>
  <c r="H63"/>
  <c r="M63" s="1"/>
  <c r="I63"/>
  <c r="N63" s="1"/>
  <c r="J63"/>
  <c r="O63" s="1"/>
  <c r="I77"/>
  <c r="N77" s="1"/>
  <c r="H77"/>
  <c r="M77" s="1"/>
  <c r="F29" i="61"/>
  <c r="I25" i="101" s="1"/>
  <c r="K25" s="1"/>
  <c r="E28" i="61"/>
  <c r="D24" i="101" s="1"/>
  <c r="E24" s="1"/>
  <c r="N27" i="61"/>
  <c r="G29"/>
  <c r="N25" i="101" s="1"/>
  <c r="P25" s="1"/>
  <c r="O27" i="61"/>
  <c r="O23" i="101" s="1"/>
  <c r="Q23" s="1"/>
  <c r="R7" i="100" s="1"/>
  <c r="M27" i="61"/>
  <c r="M28"/>
  <c r="J23" i="101" l="1"/>
  <c r="L23" s="1"/>
  <c r="K7" i="100" s="1"/>
  <c r="N7" s="1"/>
  <c r="H30" i="61"/>
  <c r="S26" i="101" s="1"/>
  <c r="U26" s="1"/>
  <c r="F24"/>
  <c r="G24" s="1"/>
  <c r="D9" i="100" s="1"/>
  <c r="G9" s="1"/>
  <c r="G7"/>
  <c r="F23" i="101"/>
  <c r="G23" s="1"/>
  <c r="D7" i="100" s="1"/>
  <c r="D17" i="87"/>
  <c r="D16" s="1"/>
  <c r="H20" i="48"/>
  <c r="M47" i="57"/>
  <c r="M51" s="1"/>
  <c r="M52" s="1"/>
  <c r="N47"/>
  <c r="C119" i="80"/>
  <c r="G17"/>
  <c r="D120"/>
  <c r="N51" i="57"/>
  <c r="N52" s="1"/>
  <c r="N53" s="1"/>
  <c r="N54" s="1"/>
  <c r="O51"/>
  <c r="O52" s="1"/>
  <c r="O53" s="1"/>
  <c r="O54" s="1"/>
  <c r="O64" s="1"/>
  <c r="O28" i="61"/>
  <c r="O24" i="101" s="1"/>
  <c r="Q24" s="1"/>
  <c r="R9" i="100" s="1"/>
  <c r="F30" i="61"/>
  <c r="I26" i="101" s="1"/>
  <c r="K26" s="1"/>
  <c r="E29" i="61"/>
  <c r="D25" i="101" s="1"/>
  <c r="E25" s="1"/>
  <c r="G30" i="61"/>
  <c r="N26" i="101" s="1"/>
  <c r="P26" s="1"/>
  <c r="H40" i="61"/>
  <c r="S36" i="101" s="1"/>
  <c r="U36" s="1"/>
  <c r="H34" i="61"/>
  <c r="S30" i="101" s="1"/>
  <c r="U30" s="1"/>
  <c r="M29" i="61"/>
  <c r="F25" i="101" s="1"/>
  <c r="G25" s="1"/>
  <c r="N28" i="61"/>
  <c r="N9" i="100" l="1"/>
  <c r="J24" i="101"/>
  <c r="L24" s="1"/>
  <c r="K9" i="100" s="1"/>
  <c r="E30" i="61"/>
  <c r="D26" i="101" s="1"/>
  <c r="E26" s="1"/>
  <c r="K20" i="48"/>
  <c r="D24" i="87"/>
  <c r="D122" i="80"/>
  <c r="C121"/>
  <c r="H17"/>
  <c r="O29" i="61"/>
  <c r="O25" i="101" s="1"/>
  <c r="Q25" s="1"/>
  <c r="F40" i="61"/>
  <c r="I36" i="101" s="1"/>
  <c r="K36" s="1"/>
  <c r="F34" i="61"/>
  <c r="I30" i="101" s="1"/>
  <c r="K30" s="1"/>
  <c r="O58" i="57"/>
  <c r="O65" s="1"/>
  <c r="O66" s="1"/>
  <c r="O67" s="1"/>
  <c r="O68" s="1"/>
  <c r="O71" s="1"/>
  <c r="H41" i="61"/>
  <c r="S37" i="101" s="1"/>
  <c r="U37" s="1"/>
  <c r="G34" i="61"/>
  <c r="N30" i="101" s="1"/>
  <c r="P30" s="1"/>
  <c r="G40" i="61"/>
  <c r="N36" i="101" s="1"/>
  <c r="P36" s="1"/>
  <c r="E40" i="61"/>
  <c r="D36" i="101" s="1"/>
  <c r="E36" s="1"/>
  <c r="E34" i="61"/>
  <c r="D30" i="101" s="1"/>
  <c r="E30" s="1"/>
  <c r="M30" i="61"/>
  <c r="F26" i="101" s="1"/>
  <c r="G26" s="1"/>
  <c r="D6" i="100" s="1"/>
  <c r="N29" i="61"/>
  <c r="J25" i="101" s="1"/>
  <c r="L25" s="1"/>
  <c r="M53" i="57"/>
  <c r="M54" s="1"/>
  <c r="N64"/>
  <c r="N58"/>
  <c r="M20" i="48" l="1"/>
  <c r="D27" i="87"/>
  <c r="O20" i="48" s="1"/>
  <c r="N20"/>
  <c r="D121" i="80"/>
  <c r="C122"/>
  <c r="F41" i="61"/>
  <c r="I37" i="101" s="1"/>
  <c r="K37" s="1"/>
  <c r="O30" i="61"/>
  <c r="O26" i="101" s="1"/>
  <c r="Q26" s="1"/>
  <c r="R6" i="100" s="1"/>
  <c r="N30" i="61"/>
  <c r="M40"/>
  <c r="F36" i="101" s="1"/>
  <c r="G36" s="1"/>
  <c r="M34" i="61"/>
  <c r="F30" i="101" s="1"/>
  <c r="G30" s="1"/>
  <c r="E41" i="61"/>
  <c r="D37" i="101" s="1"/>
  <c r="E37" s="1"/>
  <c r="G41" i="61"/>
  <c r="N37" i="101" s="1"/>
  <c r="P37" s="1"/>
  <c r="H42" i="61"/>
  <c r="O81" i="57"/>
  <c r="O80"/>
  <c r="O72"/>
  <c r="M64"/>
  <c r="M58"/>
  <c r="N65"/>
  <c r="N66" s="1"/>
  <c r="N67" s="1"/>
  <c r="N68" s="1"/>
  <c r="N71" s="1"/>
  <c r="N34" i="61" l="1"/>
  <c r="J30" i="101" s="1"/>
  <c r="L30" s="1"/>
  <c r="J26"/>
  <c r="L26" s="1"/>
  <c r="K6" i="100" s="1"/>
  <c r="N6" s="1"/>
  <c r="N40" i="61"/>
  <c r="J36" i="101" s="1"/>
  <c r="L36" s="1"/>
  <c r="G6" i="100"/>
  <c r="O40" i="61"/>
  <c r="O36" i="101" s="1"/>
  <c r="Q36" s="1"/>
  <c r="O34" i="61"/>
  <c r="O30" i="101" s="1"/>
  <c r="Q30" s="1"/>
  <c r="F42" i="61"/>
  <c r="E42"/>
  <c r="E43" s="1"/>
  <c r="D38" i="101" s="1"/>
  <c r="E38" s="1"/>
  <c r="G42" i="61"/>
  <c r="G43" s="1"/>
  <c r="N38" i="101" s="1"/>
  <c r="P38" s="1"/>
  <c r="H43" i="61"/>
  <c r="S38" i="101" s="1"/>
  <c r="U38" s="1"/>
  <c r="M41" i="61"/>
  <c r="M42"/>
  <c r="O84" i="57"/>
  <c r="O85" s="1"/>
  <c r="N41" i="61"/>
  <c r="N72" i="57"/>
  <c r="N81"/>
  <c r="N80"/>
  <c r="M65"/>
  <c r="M66" s="1"/>
  <c r="M67" s="1"/>
  <c r="M68" s="1"/>
  <c r="M71" s="1"/>
  <c r="J37" i="101" l="1"/>
  <c r="L37" s="1"/>
  <c r="K11" i="100" s="1"/>
  <c r="N11" s="1"/>
  <c r="G11"/>
  <c r="F37" i="101"/>
  <c r="G37" s="1"/>
  <c r="D11" i="100" s="1"/>
  <c r="U6"/>
  <c r="O41" i="61"/>
  <c r="O37" i="101" s="1"/>
  <c r="Q37" s="1"/>
  <c r="R11" i="100" s="1"/>
  <c r="F43" i="61"/>
  <c r="I38" i="101" s="1"/>
  <c r="K38" s="1"/>
  <c r="G44" i="61"/>
  <c r="E44"/>
  <c r="D39" i="101" s="1"/>
  <c r="E39" s="1"/>
  <c r="M43" i="61"/>
  <c r="F38" i="101" s="1"/>
  <c r="G38" s="1"/>
  <c r="N42" i="61"/>
  <c r="H44"/>
  <c r="S39" i="101" s="1"/>
  <c r="U39" s="1"/>
  <c r="M72" i="57"/>
  <c r="M81"/>
  <c r="M80"/>
  <c r="N84"/>
  <c r="N85" s="1"/>
  <c r="G47" i="61" l="1"/>
  <c r="N42" i="101" s="1"/>
  <c r="P42" s="1"/>
  <c r="N39"/>
  <c r="P39" s="1"/>
  <c r="F44" i="61"/>
  <c r="I39" i="101" s="1"/>
  <c r="K39" s="1"/>
  <c r="M44" i="61"/>
  <c r="F39" i="101" s="1"/>
  <c r="G39" s="1"/>
  <c r="D10" i="100" s="1"/>
  <c r="U11"/>
  <c r="O42" i="61"/>
  <c r="O43" s="1"/>
  <c r="O38" i="101" s="1"/>
  <c r="Q38" s="1"/>
  <c r="H47" i="61"/>
  <c r="S42" i="101" s="1"/>
  <c r="U42" s="1"/>
  <c r="N43" i="61"/>
  <c r="J38" i="101" s="1"/>
  <c r="L38" s="1"/>
  <c r="F19" i="63"/>
  <c r="G48" i="61"/>
  <c r="E47"/>
  <c r="D42" i="101" s="1"/>
  <c r="E42" s="1"/>
  <c r="M84" i="57"/>
  <c r="M85" s="1"/>
  <c r="F18" i="63" l="1"/>
  <c r="M47" i="61"/>
  <c r="F42" i="101" s="1"/>
  <c r="G42" s="1"/>
  <c r="F47" i="61"/>
  <c r="I42" i="101" s="1"/>
  <c r="K42" s="1"/>
  <c r="G10" i="100"/>
  <c r="D13"/>
  <c r="G13" s="1"/>
  <c r="O44" i="61"/>
  <c r="O39" i="101" s="1"/>
  <c r="Q39" s="1"/>
  <c r="R10" i="100" s="1"/>
  <c r="F48" i="61"/>
  <c r="N44"/>
  <c r="G19" i="63"/>
  <c r="H19" s="1"/>
  <c r="H48" i="61"/>
  <c r="P47"/>
  <c r="G18" i="63"/>
  <c r="H18" s="1"/>
  <c r="M19"/>
  <c r="M18"/>
  <c r="M48" i="61"/>
  <c r="D18" i="63"/>
  <c r="D19"/>
  <c r="E48" i="61"/>
  <c r="F20" i="63"/>
  <c r="F21" s="1"/>
  <c r="N47" i="61" l="1"/>
  <c r="J42" i="101" s="1"/>
  <c r="L42" s="1"/>
  <c r="J39"/>
  <c r="L39" s="1"/>
  <c r="K10" i="100" s="1"/>
  <c r="N10" s="1"/>
  <c r="E19" i="63"/>
  <c r="E18"/>
  <c r="E20"/>
  <c r="E21" s="1"/>
  <c r="U10" i="100"/>
  <c r="R13"/>
  <c r="U13" s="1"/>
  <c r="O47" i="61"/>
  <c r="M20" i="63"/>
  <c r="M21" s="1"/>
  <c r="N18"/>
  <c r="N19"/>
  <c r="N48" i="61"/>
  <c r="P48"/>
  <c r="P18" i="63"/>
  <c r="Q18" s="1"/>
  <c r="P19"/>
  <c r="Q19" s="1"/>
  <c r="P71" i="57"/>
  <c r="G18" i="4" s="1"/>
  <c r="D20" i="63"/>
  <c r="D21" s="1"/>
  <c r="G20"/>
  <c r="K13" i="100" l="1"/>
  <c r="N13" s="1"/>
  <c r="O48" i="61"/>
  <c r="O42" i="101"/>
  <c r="Q42" s="1"/>
  <c r="O18" i="63"/>
  <c r="G21"/>
  <c r="H20"/>
  <c r="O19"/>
  <c r="V18" i="4"/>
  <c r="AM18"/>
  <c r="AN18"/>
  <c r="AG18"/>
  <c r="N18"/>
  <c r="S18"/>
  <c r="AQ18"/>
  <c r="AL18"/>
  <c r="AC18"/>
  <c r="AD18"/>
  <c r="AH18"/>
  <c r="AF18"/>
  <c r="AO18"/>
  <c r="O18"/>
  <c r="AJ18"/>
  <c r="AA18"/>
  <c r="R18"/>
  <c r="Z18"/>
  <c r="U18"/>
  <c r="P18"/>
  <c r="Q18"/>
  <c r="AR18"/>
  <c r="AR21" s="1"/>
  <c r="X18"/>
  <c r="Y18"/>
  <c r="AS18"/>
  <c r="AS21" s="1"/>
  <c r="J18"/>
  <c r="AT18"/>
  <c r="AT21" s="1"/>
  <c r="M18"/>
  <c r="AP18"/>
  <c r="K18"/>
  <c r="AB18"/>
  <c r="H18"/>
  <c r="L18"/>
  <c r="W18"/>
  <c r="I18"/>
  <c r="AU18"/>
  <c r="AU21" s="1"/>
  <c r="AI18"/>
  <c r="T18"/>
  <c r="AE18"/>
  <c r="AK18"/>
  <c r="N20" i="63"/>
  <c r="N21" s="1"/>
  <c r="P20"/>
  <c r="R48" i="61"/>
  <c r="P72" i="57"/>
  <c r="O20" i="63" l="1"/>
  <c r="O21" s="1"/>
  <c r="P21"/>
  <c r="Q20"/>
  <c r="H21" i="4"/>
  <c r="H23" s="1"/>
  <c r="I20" s="1"/>
  <c r="I21" s="1"/>
  <c r="I23" s="1"/>
  <c r="J20" s="1"/>
  <c r="J21" s="1"/>
  <c r="J23" s="1"/>
  <c r="K20" s="1"/>
  <c r="K21" s="1"/>
  <c r="K23" s="1"/>
  <c r="L20" s="1"/>
  <c r="L21" s="1"/>
  <c r="L23" s="1"/>
  <c r="M20" s="1"/>
  <c r="M21" s="1"/>
  <c r="M23" s="1"/>
  <c r="N20" s="1"/>
  <c r="N21" s="1"/>
  <c r="N23" s="1"/>
  <c r="O20" s="1"/>
  <c r="O21" s="1"/>
  <c r="O23" s="1"/>
  <c r="P20" s="1"/>
  <c r="P21" s="1"/>
  <c r="P23" s="1"/>
  <c r="Q20" s="1"/>
  <c r="Q21" s="1"/>
  <c r="Q23" s="1"/>
  <c r="G25"/>
  <c r="D19" i="3" s="1"/>
  <c r="D20" s="1"/>
  <c r="G26" i="4"/>
  <c r="D15" i="3" s="1"/>
  <c r="P84" i="57"/>
  <c r="P85" s="1"/>
  <c r="D22" i="3" s="1"/>
  <c r="J5" i="48" l="1"/>
  <c r="E92" i="3"/>
  <c r="E99"/>
  <c r="D64" s="1"/>
  <c r="E64" s="1"/>
  <c r="F64" s="1"/>
  <c r="G64" s="1"/>
  <c r="E5" i="48"/>
  <c r="D16" i="3"/>
  <c r="H5" i="48"/>
  <c r="R20" i="4"/>
  <c r="R21" s="1"/>
  <c r="R23" s="1"/>
  <c r="D125" i="3" l="1"/>
  <c r="D117"/>
  <c r="D103"/>
  <c r="D62"/>
  <c r="E62" s="1"/>
  <c r="F62" s="1"/>
  <c r="G62" s="1"/>
  <c r="S92"/>
  <c r="S93" s="1"/>
  <c r="X92"/>
  <c r="X93" s="1"/>
  <c r="T92"/>
  <c r="T93" s="1"/>
  <c r="U92"/>
  <c r="U93" s="1"/>
  <c r="V92"/>
  <c r="V93" s="1"/>
  <c r="R92"/>
  <c r="R93" s="1"/>
  <c r="H92"/>
  <c r="H93" s="1"/>
  <c r="E93"/>
  <c r="P92"/>
  <c r="P93" s="1"/>
  <c r="M92"/>
  <c r="M93" s="1"/>
  <c r="N92"/>
  <c r="N93" s="1"/>
  <c r="O92"/>
  <c r="O93" s="1"/>
  <c r="K92"/>
  <c r="K93" s="1"/>
  <c r="W92"/>
  <c r="W93" s="1"/>
  <c r="J92"/>
  <c r="J93" s="1"/>
  <c r="L92"/>
  <c r="L93" s="1"/>
  <c r="I92"/>
  <c r="I93" s="1"/>
  <c r="F92"/>
  <c r="F93" s="1"/>
  <c r="Q92"/>
  <c r="Q93" s="1"/>
  <c r="G92"/>
  <c r="G93" s="1"/>
  <c r="S20" i="4"/>
  <c r="S21" s="1"/>
  <c r="S23" s="1"/>
  <c r="D63" i="3" l="1"/>
  <c r="E63" s="1"/>
  <c r="F63" s="1"/>
  <c r="G63" s="1"/>
  <c r="D118"/>
  <c r="E115"/>
  <c r="E123"/>
  <c r="E124" s="1"/>
  <c r="E112" s="1"/>
  <c r="D126"/>
  <c r="T20" i="4"/>
  <c r="T21" s="1"/>
  <c r="T23" s="1"/>
  <c r="E130" i="3" l="1"/>
  <c r="E116"/>
  <c r="E109" s="1"/>
  <c r="U20" i="4"/>
  <c r="U21" s="1"/>
  <c r="U23" s="1"/>
  <c r="V20" l="1"/>
  <c r="V21" s="1"/>
  <c r="V23" s="1"/>
  <c r="W20" l="1"/>
  <c r="W21" s="1"/>
  <c r="W23" s="1"/>
  <c r="X20" l="1"/>
  <c r="X21" s="1"/>
  <c r="X23" s="1"/>
  <c r="Y20" l="1"/>
  <c r="Y21" s="1"/>
  <c r="Y23" s="1"/>
  <c r="Z20" l="1"/>
  <c r="Z21" s="1"/>
  <c r="Z23" s="1"/>
  <c r="AA20" l="1"/>
  <c r="AA21" s="1"/>
  <c r="AA23" s="1"/>
  <c r="AB20" l="1"/>
  <c r="AB21" s="1"/>
  <c r="AB23" s="1"/>
  <c r="AC20" l="1"/>
  <c r="AC21" s="1"/>
  <c r="AC23" s="1"/>
  <c r="AD20" l="1"/>
  <c r="AD21" s="1"/>
  <c r="AD23" s="1"/>
  <c r="AE20" l="1"/>
  <c r="AE21" s="1"/>
  <c r="AE23" s="1"/>
  <c r="AF20" l="1"/>
  <c r="AF21" s="1"/>
  <c r="AF23" s="1"/>
  <c r="AG20" l="1"/>
  <c r="AG21" s="1"/>
  <c r="AG23" s="1"/>
  <c r="AH20" l="1"/>
  <c r="AH21" s="1"/>
  <c r="AH23" s="1"/>
  <c r="AI20" l="1"/>
  <c r="AI21" s="1"/>
  <c r="AI23" s="1"/>
  <c r="AJ20" l="1"/>
  <c r="AJ21" s="1"/>
  <c r="AJ23" s="1"/>
  <c r="AK20" l="1"/>
  <c r="AK21" s="1"/>
  <c r="AK23" s="1"/>
  <c r="AL20" l="1"/>
  <c r="AL21" s="1"/>
  <c r="AL23" s="1"/>
  <c r="AM20" l="1"/>
  <c r="AM21" s="1"/>
  <c r="AM23" l="1"/>
  <c r="AN20" l="1"/>
  <c r="AN21" s="1"/>
  <c r="AN23" l="1"/>
  <c r="AO20" l="1"/>
  <c r="AO21" s="1"/>
  <c r="AO23" l="1"/>
  <c r="AP20" l="1"/>
  <c r="AP21" s="1"/>
  <c r="AP23" s="1"/>
  <c r="AQ20" l="1"/>
  <c r="AQ21" s="1"/>
  <c r="G27" s="1"/>
  <c r="D17" i="3" s="1"/>
  <c r="D18" s="1"/>
  <c r="BB96" l="1"/>
  <c r="AL96"/>
  <c r="AU96"/>
  <c r="X96"/>
  <c r="H96"/>
  <c r="AG96"/>
  <c r="O96"/>
  <c r="AJ96"/>
  <c r="AQ96"/>
  <c r="F96"/>
  <c r="M96"/>
  <c r="AA96"/>
  <c r="AZ96"/>
  <c r="AX96"/>
  <c r="AH96"/>
  <c r="AN96"/>
  <c r="T96"/>
  <c r="BA96"/>
  <c r="AB96"/>
  <c r="K96"/>
  <c r="Y96"/>
  <c r="AF96"/>
  <c r="AO96"/>
  <c r="E96"/>
  <c r="R96"/>
  <c r="N96"/>
  <c r="AK96"/>
  <c r="AV96"/>
  <c r="AT96"/>
  <c r="AD96"/>
  <c r="AI96"/>
  <c r="P96"/>
  <c r="AS96"/>
  <c r="W96"/>
  <c r="G96"/>
  <c r="Q96"/>
  <c r="V96"/>
  <c r="AE96"/>
  <c r="AY96"/>
  <c r="J96"/>
  <c r="AR96"/>
  <c r="AP96"/>
  <c r="Z96"/>
  <c r="AC96"/>
  <c r="L96"/>
  <c r="AM96"/>
  <c r="S96"/>
  <c r="AW96"/>
  <c r="I96"/>
  <c r="U96"/>
  <c r="AQ23" i="4"/>
  <c r="AR23" s="1"/>
  <c r="AS23" s="1"/>
  <c r="AT23" s="1"/>
  <c r="AU23" s="1"/>
  <c r="AW110" i="3" l="1"/>
  <c r="AW111" s="1"/>
  <c r="AW113" s="1"/>
  <c r="AW97"/>
  <c r="AW101" s="1"/>
  <c r="AW103" s="1"/>
  <c r="D65"/>
  <c r="AN97"/>
  <c r="AN101" s="1"/>
  <c r="AN103" s="1"/>
  <c r="AN110"/>
  <c r="AN111" s="1"/>
  <c r="AN113" s="1"/>
  <c r="AA110"/>
  <c r="AA111" s="1"/>
  <c r="AA113" s="1"/>
  <c r="AA97"/>
  <c r="AA101" s="1"/>
  <c r="AA103" s="1"/>
  <c r="AJ97"/>
  <c r="AJ101" s="1"/>
  <c r="AJ103" s="1"/>
  <c r="AJ110"/>
  <c r="AJ111" s="1"/>
  <c r="AJ113" s="1"/>
  <c r="Z110"/>
  <c r="Z111" s="1"/>
  <c r="Z113" s="1"/>
  <c r="Z97"/>
  <c r="Z101" s="1"/>
  <c r="Z103" s="1"/>
  <c r="AY97"/>
  <c r="AY101" s="1"/>
  <c r="AY103" s="1"/>
  <c r="AY110"/>
  <c r="AY111" s="1"/>
  <c r="AY113" s="1"/>
  <c r="AI110"/>
  <c r="AI111" s="1"/>
  <c r="AI113" s="1"/>
  <c r="AI97"/>
  <c r="AI101" s="1"/>
  <c r="AI103" s="1"/>
  <c r="AK97"/>
  <c r="AK101" s="1"/>
  <c r="AK103" s="1"/>
  <c r="AK110"/>
  <c r="AK111" s="1"/>
  <c r="AK113" s="1"/>
  <c r="AO97"/>
  <c r="AO101" s="1"/>
  <c r="AO103" s="1"/>
  <c r="AO110"/>
  <c r="AO111" s="1"/>
  <c r="AO113" s="1"/>
  <c r="AB97"/>
  <c r="AB101" s="1"/>
  <c r="AB103" s="1"/>
  <c r="AB110"/>
  <c r="AB111" s="1"/>
  <c r="AB113" s="1"/>
  <c r="AH110"/>
  <c r="AH111" s="1"/>
  <c r="AH113" s="1"/>
  <c r="AH97"/>
  <c r="AH101" s="1"/>
  <c r="AH103" s="1"/>
  <c r="AU97"/>
  <c r="AU101" s="1"/>
  <c r="AU103" s="1"/>
  <c r="AU110"/>
  <c r="AU111" s="1"/>
  <c r="AU113" s="1"/>
  <c r="AC97"/>
  <c r="AC101" s="1"/>
  <c r="AC103" s="1"/>
  <c r="AC110"/>
  <c r="AC111" s="1"/>
  <c r="AC113" s="1"/>
  <c r="AV110"/>
  <c r="AV111" s="1"/>
  <c r="AV113" s="1"/>
  <c r="AV97"/>
  <c r="AV101" s="1"/>
  <c r="AV103" s="1"/>
  <c r="AM97"/>
  <c r="AM101" s="1"/>
  <c r="AM103" s="1"/>
  <c r="AM110"/>
  <c r="AM111" s="1"/>
  <c r="AM113" s="1"/>
  <c r="AP110"/>
  <c r="AP111" s="1"/>
  <c r="AP113" s="1"/>
  <c r="AP97"/>
  <c r="AP101" s="1"/>
  <c r="AP103" s="1"/>
  <c r="AE97"/>
  <c r="AE101" s="1"/>
  <c r="AE103" s="1"/>
  <c r="AE110"/>
  <c r="AE111" s="1"/>
  <c r="AE113" s="1"/>
  <c r="AD97"/>
  <c r="AD101" s="1"/>
  <c r="AD103" s="1"/>
  <c r="AD110"/>
  <c r="AD111" s="1"/>
  <c r="AD113" s="1"/>
  <c r="AF97"/>
  <c r="AF101" s="1"/>
  <c r="AF103" s="1"/>
  <c r="AF110"/>
  <c r="AF111" s="1"/>
  <c r="AF113" s="1"/>
  <c r="BA110"/>
  <c r="BA111" s="1"/>
  <c r="BA113" s="1"/>
  <c r="BA97"/>
  <c r="BA101" s="1"/>
  <c r="BA103" s="1"/>
  <c r="AX97"/>
  <c r="AX101" s="1"/>
  <c r="AX103" s="1"/>
  <c r="AX110"/>
  <c r="AX111" s="1"/>
  <c r="AX113" s="1"/>
  <c r="AG110"/>
  <c r="AG111" s="1"/>
  <c r="AG113" s="1"/>
  <c r="AG97"/>
  <c r="AG101" s="1"/>
  <c r="AG103" s="1"/>
  <c r="AL110"/>
  <c r="AL111" s="1"/>
  <c r="AL113" s="1"/>
  <c r="AL97"/>
  <c r="AL101" s="1"/>
  <c r="AL103" s="1"/>
  <c r="AR110"/>
  <c r="AR111" s="1"/>
  <c r="AR113" s="1"/>
  <c r="AR97"/>
  <c r="AR101" s="1"/>
  <c r="AR103" s="1"/>
  <c r="AS97"/>
  <c r="AS101" s="1"/>
  <c r="AS103" s="1"/>
  <c r="AS110"/>
  <c r="AS111" s="1"/>
  <c r="AS113" s="1"/>
  <c r="AT110"/>
  <c r="AT111" s="1"/>
  <c r="AT113" s="1"/>
  <c r="AT97"/>
  <c r="AT101" s="1"/>
  <c r="AT103" s="1"/>
  <c r="Y97"/>
  <c r="Y101" s="1"/>
  <c r="Y103" s="1"/>
  <c r="Y110"/>
  <c r="Y111" s="1"/>
  <c r="Y113" s="1"/>
  <c r="AZ97"/>
  <c r="AZ101" s="1"/>
  <c r="AZ103" s="1"/>
  <c r="AZ110"/>
  <c r="AZ111" s="1"/>
  <c r="AZ113" s="1"/>
  <c r="AQ110"/>
  <c r="AQ111" s="1"/>
  <c r="AQ113" s="1"/>
  <c r="AQ97"/>
  <c r="AQ101" s="1"/>
  <c r="AQ103" s="1"/>
  <c r="BB97"/>
  <c r="BB101" s="1"/>
  <c r="BB103" s="1"/>
  <c r="BB110"/>
  <c r="BB111" s="1"/>
  <c r="BB113" s="1"/>
  <c r="AT125" l="1"/>
  <c r="AT126" s="1"/>
  <c r="AT117"/>
  <c r="AT118" s="1"/>
  <c r="AR125"/>
  <c r="AR126" s="1"/>
  <c r="AR117"/>
  <c r="AR118" s="1"/>
  <c r="AG125"/>
  <c r="AG126" s="1"/>
  <c r="AG117"/>
  <c r="AG118" s="1"/>
  <c r="BA125"/>
  <c r="BA126" s="1"/>
  <c r="BA117"/>
  <c r="BA118" s="1"/>
  <c r="AP117"/>
  <c r="AP118" s="1"/>
  <c r="AP125"/>
  <c r="AP126" s="1"/>
  <c r="AV125"/>
  <c r="AV126" s="1"/>
  <c r="AV117"/>
  <c r="AV118" s="1"/>
  <c r="Y125"/>
  <c r="Y126" s="1"/>
  <c r="Y117"/>
  <c r="Y118" s="1"/>
  <c r="AS125"/>
  <c r="AS126" s="1"/>
  <c r="AS117"/>
  <c r="AS118" s="1"/>
  <c r="AX117"/>
  <c r="AX118" s="1"/>
  <c r="AX125"/>
  <c r="AX126" s="1"/>
  <c r="AF125"/>
  <c r="AF126" s="1"/>
  <c r="AF117"/>
  <c r="AF118" s="1"/>
  <c r="AE125"/>
  <c r="AE126" s="1"/>
  <c r="AE117"/>
  <c r="AE118" s="1"/>
  <c r="AM125"/>
  <c r="AM126" s="1"/>
  <c r="AM117"/>
  <c r="AM118" s="1"/>
  <c r="AC125"/>
  <c r="AC126" s="1"/>
  <c r="AC117"/>
  <c r="AC118" s="1"/>
  <c r="AO125"/>
  <c r="AO126" s="1"/>
  <c r="AO117"/>
  <c r="AO118" s="1"/>
  <c r="E65"/>
  <c r="D67"/>
  <c r="AQ125"/>
  <c r="AQ126" s="1"/>
  <c r="AQ117"/>
  <c r="AQ118" s="1"/>
  <c r="AL125"/>
  <c r="AL126" s="1"/>
  <c r="AL117"/>
  <c r="AL118" s="1"/>
  <c r="AH117"/>
  <c r="AH118" s="1"/>
  <c r="AH125"/>
  <c r="AH126" s="1"/>
  <c r="AI125"/>
  <c r="AI126" s="1"/>
  <c r="AI117"/>
  <c r="AI118" s="1"/>
  <c r="Z117"/>
  <c r="Z118" s="1"/>
  <c r="Z125"/>
  <c r="Z126" s="1"/>
  <c r="AA125"/>
  <c r="AA126" s="1"/>
  <c r="AA117"/>
  <c r="AA118" s="1"/>
  <c r="BB125"/>
  <c r="BB126" s="1"/>
  <c r="BB117"/>
  <c r="BB118" s="1"/>
  <c r="AZ125"/>
  <c r="AZ126" s="1"/>
  <c r="AZ117"/>
  <c r="AZ118" s="1"/>
  <c r="AD125"/>
  <c r="AD126" s="1"/>
  <c r="AD117"/>
  <c r="AD118" s="1"/>
  <c r="AU125"/>
  <c r="AU126" s="1"/>
  <c r="AU117"/>
  <c r="AU118" s="1"/>
  <c r="AB125"/>
  <c r="AB126" s="1"/>
  <c r="AB117"/>
  <c r="AB118" s="1"/>
  <c r="AK125"/>
  <c r="AK126" s="1"/>
  <c r="AK117"/>
  <c r="AK118" s="1"/>
  <c r="AY125"/>
  <c r="AY126" s="1"/>
  <c r="AY117"/>
  <c r="AY118" s="1"/>
  <c r="AJ125"/>
  <c r="AJ126" s="1"/>
  <c r="AJ117"/>
  <c r="AJ118" s="1"/>
  <c r="AN125"/>
  <c r="AN126" s="1"/>
  <c r="AN117"/>
  <c r="AN118" s="1"/>
  <c r="AW125"/>
  <c r="AW126" s="1"/>
  <c r="AW117"/>
  <c r="AW118" s="1"/>
  <c r="F65" l="1"/>
  <c r="E67"/>
  <c r="L88" l="1"/>
  <c r="W88"/>
  <c r="W97" s="1"/>
  <c r="W101" s="1"/>
  <c r="W103" s="1"/>
  <c r="R88"/>
  <c r="J88"/>
  <c r="I88"/>
  <c r="I97" s="1"/>
  <c r="I101" s="1"/>
  <c r="I103" s="1"/>
  <c r="X88"/>
  <c r="H88"/>
  <c r="U88"/>
  <c r="U97" s="1"/>
  <c r="U101" s="1"/>
  <c r="U103" s="1"/>
  <c r="K88"/>
  <c r="K97" s="1"/>
  <c r="K101" s="1"/>
  <c r="K103" s="1"/>
  <c r="T88"/>
  <c r="S88"/>
  <c r="S97" s="1"/>
  <c r="S101" s="1"/>
  <c r="S103" s="1"/>
  <c r="M88"/>
  <c r="M97" s="1"/>
  <c r="M101" s="1"/>
  <c r="M103" s="1"/>
  <c r="F88"/>
  <c r="V88"/>
  <c r="P88"/>
  <c r="O88"/>
  <c r="O97" s="1"/>
  <c r="O101" s="1"/>
  <c r="O103" s="1"/>
  <c r="G88"/>
  <c r="G97" s="1"/>
  <c r="G101" s="1"/>
  <c r="G103" s="1"/>
  <c r="Q88"/>
  <c r="Q97" s="1"/>
  <c r="Q101" s="1"/>
  <c r="Q103" s="1"/>
  <c r="N88"/>
  <c r="G65"/>
  <c r="F67"/>
  <c r="P97" l="1"/>
  <c r="P101" s="1"/>
  <c r="P103" s="1"/>
  <c r="T97"/>
  <c r="T101" s="1"/>
  <c r="T103" s="1"/>
  <c r="R97"/>
  <c r="R101" s="1"/>
  <c r="R103" s="1"/>
  <c r="F97"/>
  <c r="F101" s="1"/>
  <c r="F103" s="1"/>
  <c r="X97"/>
  <c r="X101" s="1"/>
  <c r="X103" s="1"/>
  <c r="N97"/>
  <c r="N101" s="1"/>
  <c r="N103" s="1"/>
  <c r="J97"/>
  <c r="J101" s="1"/>
  <c r="J103" s="1"/>
  <c r="V97"/>
  <c r="V101" s="1"/>
  <c r="V103" s="1"/>
  <c r="H97"/>
  <c r="H101" s="1"/>
  <c r="H103" s="1"/>
  <c r="G67"/>
  <c r="L97"/>
  <c r="L101" s="1"/>
  <c r="L103" s="1"/>
  <c r="K5" i="48" l="1"/>
  <c r="F43" i="80" l="1"/>
  <c r="G43" s="1"/>
  <c r="F80" i="81" s="1"/>
  <c r="E55" i="80"/>
  <c r="F55" s="1"/>
  <c r="G55" s="1"/>
  <c r="F44"/>
  <c r="G44" s="1"/>
  <c r="F81" i="81" s="1"/>
  <c r="E56" i="80"/>
  <c r="E68" s="1"/>
  <c r="F46"/>
  <c r="G46" s="1"/>
  <c r="F83" i="81" s="1"/>
  <c r="E58" i="80"/>
  <c r="E70" s="1"/>
  <c r="F51"/>
  <c r="G51" s="1"/>
  <c r="F88" i="81" s="1"/>
  <c r="E63" i="80"/>
  <c r="F41"/>
  <c r="G41" s="1"/>
  <c r="F78" i="81" s="1"/>
  <c r="E53" i="80"/>
  <c r="F50"/>
  <c r="G50" s="1"/>
  <c r="F87" i="81" s="1"/>
  <c r="E62" i="80"/>
  <c r="F48"/>
  <c r="G48" s="1"/>
  <c r="F85" i="81" s="1"/>
  <c r="E60" i="80"/>
  <c r="F45"/>
  <c r="G45" s="1"/>
  <c r="F82" i="81" s="1"/>
  <c r="E57" i="80"/>
  <c r="F57" s="1"/>
  <c r="G57" s="1"/>
  <c r="F49"/>
  <c r="G49" s="1"/>
  <c r="F86" i="81" s="1"/>
  <c r="E61" i="80"/>
  <c r="F61" s="1"/>
  <c r="F36"/>
  <c r="G36" s="1"/>
  <c r="F73" i="81" s="1"/>
  <c r="J73" s="1"/>
  <c r="F40" i="80"/>
  <c r="G40" s="1"/>
  <c r="F77" i="81" s="1"/>
  <c r="E52" i="80"/>
  <c r="F38"/>
  <c r="F35"/>
  <c r="G35" s="1"/>
  <c r="F72" i="81" s="1"/>
  <c r="U72" s="1"/>
  <c r="F39" i="80"/>
  <c r="G39" s="1"/>
  <c r="F76" i="81" s="1"/>
  <c r="F34" i="80"/>
  <c r="G34" s="1"/>
  <c r="F71" i="81" s="1"/>
  <c r="F47" i="80"/>
  <c r="G47" s="1"/>
  <c r="F84" i="81" s="1"/>
  <c r="E59" i="80"/>
  <c r="F59" s="1"/>
  <c r="G59" s="1"/>
  <c r="F42"/>
  <c r="E54"/>
  <c r="E66" s="1"/>
  <c r="F66" s="1"/>
  <c r="G66" s="1"/>
  <c r="F37"/>
  <c r="E71" l="1"/>
  <c r="F71" s="1"/>
  <c r="G71" s="1"/>
  <c r="F70"/>
  <c r="G70" s="1"/>
  <c r="F107" i="81" s="1"/>
  <c r="E82" i="80"/>
  <c r="F82" s="1"/>
  <c r="G82" s="1"/>
  <c r="F58"/>
  <c r="G58" s="1"/>
  <c r="F95" i="81" s="1"/>
  <c r="F56" i="80"/>
  <c r="G56" s="1"/>
  <c r="F93" i="81" s="1"/>
  <c r="F68" i="80"/>
  <c r="E80"/>
  <c r="F80" s="1"/>
  <c r="G42"/>
  <c r="F79" i="81" s="1"/>
  <c r="N82"/>
  <c r="U82"/>
  <c r="J82"/>
  <c r="R82"/>
  <c r="J81"/>
  <c r="U81"/>
  <c r="N81"/>
  <c r="R81"/>
  <c r="G38" i="80"/>
  <c r="F75" i="81" s="1"/>
  <c r="R86"/>
  <c r="J86"/>
  <c r="N86"/>
  <c r="U86"/>
  <c r="F54" i="80"/>
  <c r="G54" s="1"/>
  <c r="F91" i="81" s="1"/>
  <c r="U87"/>
  <c r="N87"/>
  <c r="R87"/>
  <c r="J87"/>
  <c r="E69" i="80"/>
  <c r="F69" s="1"/>
  <c r="U88" i="81"/>
  <c r="N88"/>
  <c r="R88"/>
  <c r="J88"/>
  <c r="E67" i="80"/>
  <c r="G61"/>
  <c r="F98" i="81" s="1"/>
  <c r="N78"/>
  <c r="J78"/>
  <c r="R78"/>
  <c r="U78"/>
  <c r="U80"/>
  <c r="J80"/>
  <c r="R80"/>
  <c r="N80"/>
  <c r="G37" i="80"/>
  <c r="F74" i="81" s="1"/>
  <c r="J84"/>
  <c r="R84"/>
  <c r="U84"/>
  <c r="N84"/>
  <c r="J77"/>
  <c r="R77"/>
  <c r="U77"/>
  <c r="N77"/>
  <c r="E73" i="80"/>
  <c r="N85" i="81"/>
  <c r="J85"/>
  <c r="U85"/>
  <c r="R85"/>
  <c r="E94" i="80"/>
  <c r="E106" s="1"/>
  <c r="F106" s="1"/>
  <c r="R83" i="81"/>
  <c r="J83"/>
  <c r="N83"/>
  <c r="U83"/>
  <c r="F94"/>
  <c r="N94" s="1"/>
  <c r="R73"/>
  <c r="U71"/>
  <c r="N71"/>
  <c r="R71"/>
  <c r="J71"/>
  <c r="F103"/>
  <c r="F52" i="80"/>
  <c r="E64"/>
  <c r="U76" i="81"/>
  <c r="R76"/>
  <c r="J76"/>
  <c r="F60" i="80"/>
  <c r="E72"/>
  <c r="F108" i="81"/>
  <c r="J72"/>
  <c r="N72"/>
  <c r="R72"/>
  <c r="F62" i="80"/>
  <c r="E74"/>
  <c r="E92"/>
  <c r="E78"/>
  <c r="E83"/>
  <c r="N76" i="81"/>
  <c r="U73"/>
  <c r="E65" i="80"/>
  <c r="F53"/>
  <c r="F96" i="81"/>
  <c r="F63" i="80"/>
  <c r="E75"/>
  <c r="N73" i="81"/>
  <c r="F119"/>
  <c r="F92"/>
  <c r="F94" i="80" l="1"/>
  <c r="J93" i="81"/>
  <c r="N93"/>
  <c r="U93"/>
  <c r="J107"/>
  <c r="R107"/>
  <c r="N107"/>
  <c r="U95"/>
  <c r="N95"/>
  <c r="R95"/>
  <c r="N74"/>
  <c r="U74"/>
  <c r="R74"/>
  <c r="N98"/>
  <c r="J98"/>
  <c r="U98"/>
  <c r="E81" i="80"/>
  <c r="E93" s="1"/>
  <c r="J75" i="81"/>
  <c r="U75"/>
  <c r="N75"/>
  <c r="R75"/>
  <c r="G80" i="80"/>
  <c r="F117" i="81" s="1"/>
  <c r="G69" i="80"/>
  <c r="F106" i="81" s="1"/>
  <c r="J91"/>
  <c r="R91"/>
  <c r="N91"/>
  <c r="U91"/>
  <c r="G52" i="80"/>
  <c r="F89" i="81" s="1"/>
  <c r="R79"/>
  <c r="J79"/>
  <c r="U79"/>
  <c r="N79"/>
  <c r="R93"/>
  <c r="G63" i="80"/>
  <c r="F100" i="81" s="1"/>
  <c r="J95"/>
  <c r="G62" i="80"/>
  <c r="F99" i="81" s="1"/>
  <c r="G60" i="80"/>
  <c r="F97" i="81" s="1"/>
  <c r="U107"/>
  <c r="R98"/>
  <c r="J74"/>
  <c r="G106" i="80"/>
  <c r="F143" i="81" s="1"/>
  <c r="F67" i="80"/>
  <c r="G67" s="1"/>
  <c r="F104" i="81" s="1"/>
  <c r="J104" s="1"/>
  <c r="E79" i="80"/>
  <c r="E85"/>
  <c r="F73"/>
  <c r="G53"/>
  <c r="F90" i="81" s="1"/>
  <c r="G68" i="80"/>
  <c r="F105" i="81" s="1"/>
  <c r="R94"/>
  <c r="G94" i="80"/>
  <c r="F131" i="81" s="1"/>
  <c r="U94"/>
  <c r="J94"/>
  <c r="E19" i="78"/>
  <c r="F75" i="80"/>
  <c r="E87"/>
  <c r="F65"/>
  <c r="E77"/>
  <c r="U96" i="81"/>
  <c r="J96"/>
  <c r="R96"/>
  <c r="N96"/>
  <c r="F92" i="80"/>
  <c r="E104"/>
  <c r="F104" s="1"/>
  <c r="F81"/>
  <c r="D19" i="78"/>
  <c r="F83" i="80"/>
  <c r="E95"/>
  <c r="N92" i="81"/>
  <c r="J92"/>
  <c r="R92"/>
  <c r="U92"/>
  <c r="E90" i="80"/>
  <c r="F78"/>
  <c r="U119" i="81"/>
  <c r="N119"/>
  <c r="R119"/>
  <c r="J119"/>
  <c r="J108"/>
  <c r="R108"/>
  <c r="U108"/>
  <c r="N108"/>
  <c r="F64" i="80"/>
  <c r="E76"/>
  <c r="F19" i="78"/>
  <c r="F74" i="80"/>
  <c r="E86"/>
  <c r="F72"/>
  <c r="E84"/>
  <c r="R103" i="81"/>
  <c r="N103"/>
  <c r="U103"/>
  <c r="J103"/>
  <c r="G19" i="78"/>
  <c r="R104" i="81" l="1"/>
  <c r="U104"/>
  <c r="U90"/>
  <c r="J90"/>
  <c r="R90"/>
  <c r="N100"/>
  <c r="R100"/>
  <c r="U100"/>
  <c r="J100"/>
  <c r="F20" i="78"/>
  <c r="E20"/>
  <c r="G20"/>
  <c r="D20"/>
  <c r="N99" i="81"/>
  <c r="J99"/>
  <c r="U99"/>
  <c r="R99"/>
  <c r="J89"/>
  <c r="N89"/>
  <c r="U89"/>
  <c r="R89"/>
  <c r="R131"/>
  <c r="U131"/>
  <c r="U106"/>
  <c r="R106"/>
  <c r="N106"/>
  <c r="J106"/>
  <c r="U97"/>
  <c r="N97"/>
  <c r="R97"/>
  <c r="J97"/>
  <c r="N117"/>
  <c r="R117"/>
  <c r="U117"/>
  <c r="J117"/>
  <c r="G72" i="80"/>
  <c r="F109" i="81" s="1"/>
  <c r="G81" i="80"/>
  <c r="F118" i="81" s="1"/>
  <c r="G65" i="80"/>
  <c r="F102" i="81" s="1"/>
  <c r="N90"/>
  <c r="G78" i="80"/>
  <c r="F115" i="81" s="1"/>
  <c r="U115" s="1"/>
  <c r="F120"/>
  <c r="N120" s="1"/>
  <c r="G83" i="80"/>
  <c r="G104"/>
  <c r="F141" i="81" s="1"/>
  <c r="N141" s="1"/>
  <c r="N104"/>
  <c r="G73" i="80"/>
  <c r="F110" i="81" s="1"/>
  <c r="G74" i="80"/>
  <c r="F111" i="81" s="1"/>
  <c r="G64" i="80"/>
  <c r="F101" i="81" s="1"/>
  <c r="G75" i="80"/>
  <c r="F112" i="81" s="1"/>
  <c r="J105"/>
  <c r="R105"/>
  <c r="N105"/>
  <c r="U105"/>
  <c r="E97" i="80"/>
  <c r="F85"/>
  <c r="J143" i="81"/>
  <c r="R143"/>
  <c r="N143"/>
  <c r="U143"/>
  <c r="F79" i="80"/>
  <c r="E91"/>
  <c r="N131" i="81"/>
  <c r="J131"/>
  <c r="G92" i="80"/>
  <c r="F129" i="81" s="1"/>
  <c r="F90" i="80"/>
  <c r="E102"/>
  <c r="F102" s="1"/>
  <c r="E89"/>
  <c r="F77"/>
  <c r="F86"/>
  <c r="E98"/>
  <c r="F76"/>
  <c r="E88"/>
  <c r="F87"/>
  <c r="E99"/>
  <c r="F84"/>
  <c r="E96"/>
  <c r="F95"/>
  <c r="E107"/>
  <c r="F107" s="1"/>
  <c r="F93"/>
  <c r="E105"/>
  <c r="F105" s="1"/>
  <c r="J120" i="81" l="1"/>
  <c r="F21" i="78"/>
  <c r="G21"/>
  <c r="U141" i="81"/>
  <c r="D21" i="78"/>
  <c r="J129" i="81"/>
  <c r="U129"/>
  <c r="N129"/>
  <c r="J115"/>
  <c r="R120"/>
  <c r="R115"/>
  <c r="E21" i="78"/>
  <c r="J101" i="81"/>
  <c r="N101"/>
  <c r="R101"/>
  <c r="U101"/>
  <c r="U118"/>
  <c r="J118"/>
  <c r="R118"/>
  <c r="N118"/>
  <c r="N111"/>
  <c r="R111"/>
  <c r="J111"/>
  <c r="U111"/>
  <c r="R109"/>
  <c r="N109"/>
  <c r="J109"/>
  <c r="U109"/>
  <c r="J110"/>
  <c r="R110"/>
  <c r="N110"/>
  <c r="U110"/>
  <c r="N112"/>
  <c r="R112"/>
  <c r="J112"/>
  <c r="U112"/>
  <c r="N102"/>
  <c r="R102"/>
  <c r="J102"/>
  <c r="U102"/>
  <c r="J141"/>
  <c r="G86" i="80"/>
  <c r="F123" i="81" s="1"/>
  <c r="G102" i="80"/>
  <c r="F139" i="81" s="1"/>
  <c r="F91" i="80"/>
  <c r="G91" s="1"/>
  <c r="F128" i="81" s="1"/>
  <c r="N128" s="1"/>
  <c r="E103" i="80"/>
  <c r="F103" s="1"/>
  <c r="G107"/>
  <c r="F144" i="81" s="1"/>
  <c r="N115"/>
  <c r="G84" i="80"/>
  <c r="F121" i="81" s="1"/>
  <c r="R129"/>
  <c r="F113"/>
  <c r="R113" s="1"/>
  <c r="G76" i="80"/>
  <c r="R141" i="81"/>
  <c r="G77" i="80"/>
  <c r="F114" i="81" s="1"/>
  <c r="U120"/>
  <c r="G79" i="80"/>
  <c r="F116" i="81" s="1"/>
  <c r="G85" i="80"/>
  <c r="F122" i="81" s="1"/>
  <c r="G105" i="80"/>
  <c r="F142" i="81" s="1"/>
  <c r="U142" s="1"/>
  <c r="G87" i="80"/>
  <c r="F124" i="81" s="1"/>
  <c r="E109" i="80"/>
  <c r="F109" s="1"/>
  <c r="F97"/>
  <c r="G97" s="1"/>
  <c r="F134" i="81" s="1"/>
  <c r="R134" s="1"/>
  <c r="N134"/>
  <c r="G93" i="80"/>
  <c r="F130" i="81" s="1"/>
  <c r="U130" s="1"/>
  <c r="G95" i="80"/>
  <c r="F132" i="81" s="1"/>
  <c r="G90" i="80"/>
  <c r="F127" i="81" s="1"/>
  <c r="E108" i="80"/>
  <c r="F108" s="1"/>
  <c r="F96"/>
  <c r="F99"/>
  <c r="E111"/>
  <c r="F111" s="1"/>
  <c r="F88"/>
  <c r="E100"/>
  <c r="F98"/>
  <c r="E110"/>
  <c r="F110" s="1"/>
  <c r="F89"/>
  <c r="E101"/>
  <c r="N127" i="81" l="1"/>
  <c r="J127"/>
  <c r="R128"/>
  <c r="N142"/>
  <c r="U134"/>
  <c r="R127"/>
  <c r="J142"/>
  <c r="J134"/>
  <c r="U128"/>
  <c r="E22" i="78"/>
  <c r="F22"/>
  <c r="D22"/>
  <c r="N130" i="81"/>
  <c r="R130"/>
  <c r="J124"/>
  <c r="N124"/>
  <c r="R124"/>
  <c r="R132"/>
  <c r="N132"/>
  <c r="J139"/>
  <c r="N139"/>
  <c r="U139"/>
  <c r="R144"/>
  <c r="U144"/>
  <c r="J144"/>
  <c r="N123"/>
  <c r="J123"/>
  <c r="U123"/>
  <c r="G22" i="78"/>
  <c r="J113" i="81"/>
  <c r="N113"/>
  <c r="R121"/>
  <c r="J121"/>
  <c r="U121"/>
  <c r="N121"/>
  <c r="N114"/>
  <c r="J114"/>
  <c r="U114"/>
  <c r="R114"/>
  <c r="G108" i="80"/>
  <c r="F145" i="81" s="1"/>
  <c r="G109" i="80"/>
  <c r="F146" i="81" s="1"/>
  <c r="N116"/>
  <c r="J116"/>
  <c r="R116"/>
  <c r="U116"/>
  <c r="N144"/>
  <c r="U113"/>
  <c r="U127"/>
  <c r="F148"/>
  <c r="U148" s="1"/>
  <c r="G111" i="80"/>
  <c r="R142" i="81"/>
  <c r="R139"/>
  <c r="U124"/>
  <c r="J130"/>
  <c r="R123"/>
  <c r="J128"/>
  <c r="F140"/>
  <c r="G103" i="80"/>
  <c r="G89"/>
  <c r="F126" i="81" s="1"/>
  <c r="G88" i="80"/>
  <c r="F125" i="81" s="1"/>
  <c r="J122"/>
  <c r="N122"/>
  <c r="R122"/>
  <c r="U122"/>
  <c r="G110" i="80"/>
  <c r="F147" i="81" s="1"/>
  <c r="J132"/>
  <c r="G96" i="80"/>
  <c r="F133" i="81" s="1"/>
  <c r="U132"/>
  <c r="G98" i="80"/>
  <c r="F135" i="81" s="1"/>
  <c r="G99" i="80"/>
  <c r="F136" i="81" s="1"/>
  <c r="E112" i="80"/>
  <c r="F112" s="1"/>
  <c r="F100"/>
  <c r="E113"/>
  <c r="F113" s="1"/>
  <c r="F101"/>
  <c r="U145" i="81" l="1"/>
  <c r="J145"/>
  <c r="D23" i="78"/>
  <c r="R145" i="81"/>
  <c r="U125"/>
  <c r="J125"/>
  <c r="N145"/>
  <c r="J148"/>
  <c r="F23" i="78"/>
  <c r="E23"/>
  <c r="J147" i="81"/>
  <c r="R147"/>
  <c r="N147"/>
  <c r="U147"/>
  <c r="N146"/>
  <c r="R146"/>
  <c r="J146"/>
  <c r="U146"/>
  <c r="U133"/>
  <c r="J133"/>
  <c r="U126"/>
  <c r="G28" i="78" s="1"/>
  <c r="G23" i="73" s="1"/>
  <c r="J126" i="81"/>
  <c r="D28" i="78" s="1"/>
  <c r="E23" i="73" s="1"/>
  <c r="N126" i="81"/>
  <c r="R126"/>
  <c r="N140"/>
  <c r="J140"/>
  <c r="U140"/>
  <c r="R140"/>
  <c r="G113" i="80"/>
  <c r="F150" i="81" s="1"/>
  <c r="R148"/>
  <c r="R125"/>
  <c r="G23" i="78"/>
  <c r="N148" i="81"/>
  <c r="N125"/>
  <c r="G112" i="80"/>
  <c r="F149" i="81" s="1"/>
  <c r="R135"/>
  <c r="J135"/>
  <c r="N135"/>
  <c r="U135"/>
  <c r="R136"/>
  <c r="U136"/>
  <c r="J136"/>
  <c r="N136"/>
  <c r="N133"/>
  <c r="R133"/>
  <c r="G100" i="80"/>
  <c r="F137" i="81" s="1"/>
  <c r="N137" s="1"/>
  <c r="G101" i="80"/>
  <c r="F138" i="81" s="1"/>
  <c r="F28" i="78" l="1"/>
  <c r="F23" i="73" s="1"/>
  <c r="D32" i="3" s="1"/>
  <c r="G69" s="1"/>
  <c r="G24" i="78"/>
  <c r="F24"/>
  <c r="E29"/>
  <c r="N138" i="81"/>
  <c r="U138"/>
  <c r="E24" i="78"/>
  <c r="R150" i="81"/>
  <c r="N150"/>
  <c r="J150"/>
  <c r="U150"/>
  <c r="N149"/>
  <c r="R149"/>
  <c r="J149"/>
  <c r="D30" i="78" s="1"/>
  <c r="U149" i="81"/>
  <c r="G30" i="78" s="1"/>
  <c r="J138" i="81"/>
  <c r="D24" i="78"/>
  <c r="R138" i="81"/>
  <c r="F25" i="78" s="1"/>
  <c r="E28"/>
  <c r="D23" i="73" s="1"/>
  <c r="J137" i="81"/>
  <c r="R137"/>
  <c r="U137"/>
  <c r="G29" i="78" s="1"/>
  <c r="E25"/>
  <c r="D29" l="1"/>
  <c r="F29"/>
  <c r="E30"/>
  <c r="F30"/>
  <c r="G25"/>
  <c r="D25"/>
  <c r="G73" i="3"/>
  <c r="F69"/>
  <c r="F73" l="1"/>
  <c r="F75" s="1"/>
  <c r="F76" s="1"/>
  <c r="E69"/>
  <c r="L5" i="48"/>
  <c r="G75" i="3"/>
  <c r="M5" i="48" s="1"/>
  <c r="G76" i="3" l="1"/>
  <c r="E73"/>
  <c r="E75" s="1"/>
  <c r="E84"/>
  <c r="N5" i="48" l="1"/>
  <c r="I76" i="3"/>
  <c r="E87"/>
  <c r="E76"/>
  <c r="E88" l="1"/>
  <c r="E110" s="1"/>
  <c r="E111" s="1"/>
  <c r="E113" s="1"/>
  <c r="O5" i="48"/>
  <c r="E97" i="3" l="1"/>
  <c r="E101" s="1"/>
  <c r="E103" s="1"/>
  <c r="D104" s="1"/>
  <c r="D105" s="1"/>
  <c r="E117"/>
  <c r="E125"/>
  <c r="E126" l="1"/>
  <c r="F123"/>
  <c r="E118"/>
  <c r="F115"/>
  <c r="F130" l="1"/>
  <c r="F116"/>
  <c r="F124"/>
  <c r="F109" l="1"/>
  <c r="F112"/>
  <c r="F110" l="1"/>
  <c r="F111" s="1"/>
  <c r="F113" s="1"/>
  <c r="F117" l="1"/>
  <c r="F125"/>
  <c r="G115" l="1"/>
  <c r="F118"/>
  <c r="G123"/>
  <c r="F126"/>
  <c r="G130" l="1"/>
  <c r="G116"/>
  <c r="G124"/>
  <c r="G112" l="1"/>
  <c r="G109"/>
  <c r="G110" l="1"/>
  <c r="G111" s="1"/>
  <c r="G113" s="1"/>
  <c r="G117" l="1"/>
  <c r="G125"/>
  <c r="H123" l="1"/>
  <c r="G126"/>
  <c r="H115"/>
  <c r="G118"/>
  <c r="H130" l="1"/>
  <c r="H116"/>
  <c r="H124"/>
  <c r="H109" l="1"/>
  <c r="H112"/>
  <c r="H110" l="1"/>
  <c r="H111" s="1"/>
  <c r="H113" s="1"/>
  <c r="H117" l="1"/>
  <c r="H125"/>
  <c r="I123" l="1"/>
  <c r="H126"/>
  <c r="I115"/>
  <c r="H118"/>
  <c r="I130" l="1"/>
  <c r="I116"/>
  <c r="I124"/>
  <c r="I112" l="1"/>
  <c r="I109"/>
  <c r="I110" l="1"/>
  <c r="I111" s="1"/>
  <c r="I113" s="1"/>
  <c r="I117" l="1"/>
  <c r="I125"/>
  <c r="J123" l="1"/>
  <c r="I126"/>
  <c r="J115"/>
  <c r="I118"/>
  <c r="J116" l="1"/>
  <c r="J130"/>
  <c r="J124"/>
  <c r="J112" l="1"/>
  <c r="J109"/>
  <c r="J110" l="1"/>
  <c r="J111" s="1"/>
  <c r="J113" s="1"/>
  <c r="J117" l="1"/>
  <c r="J125"/>
  <c r="K123" l="1"/>
  <c r="J126"/>
  <c r="K115"/>
  <c r="J118"/>
  <c r="K130" l="1"/>
  <c r="K116"/>
  <c r="K124"/>
  <c r="K112" l="1"/>
  <c r="K109"/>
  <c r="K110" l="1"/>
  <c r="K111" s="1"/>
  <c r="K113" s="1"/>
  <c r="K125" l="1"/>
  <c r="K117"/>
  <c r="L115" l="1"/>
  <c r="K118"/>
  <c r="L123"/>
  <c r="K126"/>
  <c r="L124" l="1"/>
  <c r="L130"/>
  <c r="L116"/>
  <c r="L109" l="1"/>
  <c r="L112"/>
  <c r="L110" l="1"/>
  <c r="L111" s="1"/>
  <c r="L113" s="1"/>
  <c r="L125" l="1"/>
  <c r="L117"/>
  <c r="M115" l="1"/>
  <c r="L118"/>
  <c r="M123"/>
  <c r="L126"/>
  <c r="M124" l="1"/>
  <c r="M130"/>
  <c r="M116"/>
  <c r="M109" l="1"/>
  <c r="M112"/>
  <c r="M110" l="1"/>
  <c r="M111" s="1"/>
  <c r="M113" s="1"/>
  <c r="M117" l="1"/>
  <c r="M125"/>
  <c r="N123" l="1"/>
  <c r="M126"/>
  <c r="N115"/>
  <c r="M118"/>
  <c r="N130" l="1"/>
  <c r="N116"/>
  <c r="N124"/>
  <c r="N109" l="1"/>
  <c r="N112"/>
  <c r="N110" l="1"/>
  <c r="N111" s="1"/>
  <c r="N113" s="1"/>
  <c r="N125" l="1"/>
  <c r="N117"/>
  <c r="O115" l="1"/>
  <c r="N118"/>
  <c r="O123"/>
  <c r="N126"/>
  <c r="O124" l="1"/>
  <c r="O130"/>
  <c r="O116"/>
  <c r="O109" l="1"/>
  <c r="O112"/>
  <c r="O110" l="1"/>
  <c r="O111" s="1"/>
  <c r="O113" s="1"/>
  <c r="O125" l="1"/>
  <c r="O117"/>
  <c r="P115" l="1"/>
  <c r="O118"/>
  <c r="P123"/>
  <c r="O126"/>
  <c r="P124" l="1"/>
  <c r="P116"/>
  <c r="P130"/>
  <c r="P109" l="1"/>
  <c r="P112"/>
  <c r="P110" l="1"/>
  <c r="P111" s="1"/>
  <c r="P113" s="1"/>
  <c r="P125" l="1"/>
  <c r="P117"/>
  <c r="Q115" l="1"/>
  <c r="P118"/>
  <c r="Q123"/>
  <c r="P126"/>
  <c r="Q124" l="1"/>
  <c r="Q130"/>
  <c r="Q116"/>
  <c r="Q109" l="1"/>
  <c r="Q112"/>
  <c r="Q110" l="1"/>
  <c r="Q111" s="1"/>
  <c r="Q113" s="1"/>
  <c r="Q117" l="1"/>
  <c r="Q125"/>
  <c r="R123" l="1"/>
  <c r="Q126"/>
  <c r="R115"/>
  <c r="Q118"/>
  <c r="R116" l="1"/>
  <c r="R130"/>
  <c r="R124"/>
  <c r="R112" l="1"/>
  <c r="R109"/>
  <c r="R110" l="1"/>
  <c r="R111" s="1"/>
  <c r="R113" s="1"/>
  <c r="R125" l="1"/>
  <c r="R117"/>
  <c r="S115" l="1"/>
  <c r="R118"/>
  <c r="S123"/>
  <c r="R126"/>
  <c r="S124" l="1"/>
  <c r="S130"/>
  <c r="S116"/>
  <c r="S109" l="1"/>
  <c r="S112"/>
  <c r="S110" l="1"/>
  <c r="S111" s="1"/>
  <c r="S113" s="1"/>
  <c r="S125" l="1"/>
  <c r="S117"/>
  <c r="T115" l="1"/>
  <c r="S118"/>
  <c r="T123"/>
  <c r="S126"/>
  <c r="T124" l="1"/>
  <c r="T116"/>
  <c r="T130"/>
  <c r="T109" l="1"/>
  <c r="T112"/>
  <c r="T110" l="1"/>
  <c r="T111" s="1"/>
  <c r="T113" s="1"/>
  <c r="T117" l="1"/>
  <c r="T125"/>
  <c r="U123" l="1"/>
  <c r="T126"/>
  <c r="U115"/>
  <c r="T118"/>
  <c r="U130" l="1"/>
  <c r="U116"/>
  <c r="U124"/>
  <c r="U112" l="1"/>
  <c r="U109"/>
  <c r="U110" l="1"/>
  <c r="U111" s="1"/>
  <c r="U113" s="1"/>
  <c r="U117" l="1"/>
  <c r="U125"/>
  <c r="V123" l="1"/>
  <c r="U126"/>
  <c r="V115"/>
  <c r="U118"/>
  <c r="V130" l="1"/>
  <c r="V116"/>
  <c r="V124"/>
  <c r="V109" l="1"/>
  <c r="V112"/>
  <c r="V110" l="1"/>
  <c r="V111" s="1"/>
  <c r="V113" s="1"/>
  <c r="V117" l="1"/>
  <c r="V125"/>
  <c r="W123" l="1"/>
  <c r="V126"/>
  <c r="W115"/>
  <c r="V118"/>
  <c r="W130" l="1"/>
  <c r="W116"/>
  <c r="W124"/>
  <c r="W109" l="1"/>
  <c r="W112"/>
  <c r="W110" l="1"/>
  <c r="W111" s="1"/>
  <c r="W113" s="1"/>
  <c r="W125" l="1"/>
  <c r="W117"/>
  <c r="X115" l="1"/>
  <c r="W118"/>
  <c r="X123"/>
  <c r="X124" s="1"/>
  <c r="W126"/>
  <c r="X112" l="1"/>
  <c r="X130"/>
  <c r="X116"/>
  <c r="X109" l="1"/>
  <c r="X110" l="1"/>
  <c r="X111" s="1"/>
  <c r="X113" s="1"/>
  <c r="X125" l="1"/>
  <c r="X126" s="1"/>
  <c r="D127" s="1"/>
  <c r="D128" s="1"/>
  <c r="X117"/>
  <c r="X118" s="1"/>
  <c r="D119" s="1"/>
  <c r="D120" s="1"/>
</calcChain>
</file>

<file path=xl/comments1.xml><?xml version="1.0" encoding="utf-8"?>
<comments xmlns="http://schemas.openxmlformats.org/spreadsheetml/2006/main">
  <authors>
    <author>John Michael Hagerty</author>
  </authors>
  <commentList>
    <comment ref="K47" authorId="0">
      <text>
        <r>
          <rPr>
            <b/>
            <sz val="8"/>
            <color indexed="81"/>
            <rFont val="Tahoma"/>
            <family val="2"/>
          </rPr>
          <t>John Michael Hagerty:</t>
        </r>
        <r>
          <rPr>
            <sz val="8"/>
            <color indexed="81"/>
            <rFont val="Tahoma"/>
            <family val="2"/>
          </rPr>
          <t xml:space="preserve">
Escalation rate applied solely to Solar PV Overnight Capital Costs based on trends observed in LBNL report Tracking the Sun VI</t>
        </r>
      </text>
    </comment>
  </commentList>
</comments>
</file>

<file path=xl/comments2.xml><?xml version="1.0" encoding="utf-8"?>
<comments xmlns="http://schemas.openxmlformats.org/spreadsheetml/2006/main">
  <authors>
    <author>John Michael Hagerty</author>
  </authors>
  <commentList>
    <comment ref="G25" authorId="0">
      <text>
        <r>
          <rPr>
            <b/>
            <sz val="8"/>
            <color indexed="81"/>
            <rFont val="Tahoma"/>
            <family val="2"/>
          </rPr>
          <t>John Michael Hagerty:</t>
        </r>
        <r>
          <rPr>
            <sz val="8"/>
            <color indexed="81"/>
            <rFont val="Tahoma"/>
            <family val="2"/>
          </rPr>
          <t xml:space="preserve">
Value based on input from regional solar developer for 13 kV interconnection of 6 MW facility.</t>
        </r>
      </text>
    </comment>
  </commentList>
</comments>
</file>

<file path=xl/comments3.xml><?xml version="1.0" encoding="utf-8"?>
<comments xmlns="http://schemas.openxmlformats.org/spreadsheetml/2006/main">
  <authors>
    <author>John Michael Hagerty</author>
  </authors>
  <commentList>
    <comment ref="E26" authorId="0">
      <text>
        <r>
          <rPr>
            <b/>
            <sz val="8"/>
            <color indexed="81"/>
            <rFont val="Tahoma"/>
            <family val="2"/>
          </rPr>
          <t>John Michael Hagerty:</t>
        </r>
        <r>
          <rPr>
            <sz val="8"/>
            <color indexed="81"/>
            <rFont val="Tahoma"/>
            <family val="2"/>
          </rPr>
          <t xml:space="preserve">
Value derived from 115 kV lines in Maine Power Reliability Program cost estimates.</t>
        </r>
      </text>
    </comment>
  </commentList>
</comments>
</file>

<file path=xl/comments4.xml><?xml version="1.0" encoding="utf-8"?>
<comments xmlns="http://schemas.openxmlformats.org/spreadsheetml/2006/main">
  <authors>
    <author>John Michael Hagerty</author>
  </authors>
  <commentList>
    <comment ref="D13" authorId="0">
      <text>
        <r>
          <rPr>
            <b/>
            <sz val="8"/>
            <color indexed="81"/>
            <rFont val="Tahoma"/>
            <family val="2"/>
          </rPr>
          <t>John Michael Hagerty:</t>
        </r>
        <r>
          <rPr>
            <sz val="8"/>
            <color indexed="81"/>
            <rFont val="Tahoma"/>
            <family val="2"/>
          </rPr>
          <t xml:space="preserve">
Source: SNL, updated Aug 23, 2013</t>
        </r>
      </text>
    </comment>
    <comment ref="F24" authorId="0">
      <text>
        <r>
          <rPr>
            <b/>
            <sz val="8"/>
            <color indexed="81"/>
            <rFont val="Tahoma"/>
            <family val="2"/>
          </rPr>
          <t>John Michael Hagerty:</t>
        </r>
        <r>
          <rPr>
            <sz val="8"/>
            <color indexed="81"/>
            <rFont val="Tahoma"/>
            <family val="2"/>
          </rPr>
          <t xml:space="preserve">
Escalated 2.5 years to reflect 2018/2019 commitment period.</t>
        </r>
      </text>
    </comment>
    <comment ref="G24" authorId="0">
      <text>
        <r>
          <rPr>
            <b/>
            <sz val="8"/>
            <color indexed="81"/>
            <rFont val="Tahoma"/>
            <family val="2"/>
          </rPr>
          <t>John Michael Hagerty:</t>
        </r>
        <r>
          <rPr>
            <sz val="8"/>
            <color indexed="81"/>
            <rFont val="Tahoma"/>
            <family val="2"/>
          </rPr>
          <t xml:space="preserve">
Escalated 2.5 years to reflect 2018/2019 commitment period.</t>
        </r>
      </text>
    </comment>
  </commentList>
</comments>
</file>

<file path=xl/comments5.xml><?xml version="1.0" encoding="utf-8"?>
<comments xmlns="http://schemas.openxmlformats.org/spreadsheetml/2006/main">
  <authors>
    <author>John Michael Hagerty</author>
  </authors>
  <commentList>
    <comment ref="A15" authorId="0">
      <text>
        <r>
          <rPr>
            <b/>
            <sz val="8"/>
            <color indexed="81"/>
            <rFont val="Tahoma"/>
            <family val="2"/>
          </rPr>
          <t>John Michael Hagerty:</t>
        </r>
        <r>
          <rPr>
            <sz val="8"/>
            <color indexed="81"/>
            <rFont val="Tahoma"/>
            <family val="2"/>
          </rPr>
          <t xml:space="preserve">
ISO-NE value</t>
        </r>
      </text>
    </comment>
  </commentList>
</comments>
</file>

<file path=xl/sharedStrings.xml><?xml version="1.0" encoding="utf-8"?>
<sst xmlns="http://schemas.openxmlformats.org/spreadsheetml/2006/main" count="2512" uniqueCount="987">
  <si>
    <t>Assumptions</t>
  </si>
  <si>
    <t>Financial Assumptions</t>
  </si>
  <si>
    <t>Economic Life (years)</t>
  </si>
  <si>
    <t>Debt Fraction (%)</t>
  </si>
  <si>
    <t>Debt Rate (%)</t>
  </si>
  <si>
    <t>Equity Rate (%)</t>
  </si>
  <si>
    <t>Tax Depreciation Schedule</t>
  </si>
  <si>
    <t>5yr MACRS</t>
  </si>
  <si>
    <t>10yr MACRS</t>
  </si>
  <si>
    <t>15yr MACRS</t>
  </si>
  <si>
    <t>20yr MACRS</t>
  </si>
  <si>
    <t>5yr SLD</t>
  </si>
  <si>
    <t>10yr SLD</t>
  </si>
  <si>
    <t>20yr SLD</t>
  </si>
  <si>
    <t>30yr SLD</t>
  </si>
  <si>
    <t>40yr SLD</t>
  </si>
  <si>
    <t>50yr SLD</t>
  </si>
  <si>
    <t>Annual Inflation Rate (%)</t>
  </si>
  <si>
    <t>ATWACC Nominal (%)</t>
  </si>
  <si>
    <t>ATWACC Real (%)</t>
  </si>
  <si>
    <t>Interest During Construction (%)</t>
  </si>
  <si>
    <t>Calculations</t>
  </si>
  <si>
    <t>Project Year</t>
  </si>
  <si>
    <t>Fixed O&amp;M ($m)</t>
  </si>
  <si>
    <t>Operating Costs ($m)</t>
  </si>
  <si>
    <t>Tax Depreciation (%)</t>
  </si>
  <si>
    <t>Tax Depreciation ($m)</t>
  </si>
  <si>
    <t>All-Equity Cash Flow ($m)</t>
  </si>
  <si>
    <t>Taxable Income ($m)</t>
  </si>
  <si>
    <t>Net Income Tax ($m)</t>
  </si>
  <si>
    <t>Discretionary Cash ($m)</t>
  </si>
  <si>
    <t>Debt Balance ($m)</t>
  </si>
  <si>
    <t>Interest Payments ($m)</t>
  </si>
  <si>
    <t>Principal Repayment ($m)</t>
  </si>
  <si>
    <t>Total Payments to Debt Holders ($m)</t>
  </si>
  <si>
    <t>Equity Balance ($m)</t>
  </si>
  <si>
    <t>ROE Payments ($m)</t>
  </si>
  <si>
    <t>Dividend Payments ($m)</t>
  </si>
  <si>
    <t>Total Payments to Equity Holders ($m)</t>
  </si>
  <si>
    <t>Source:</t>
  </si>
  <si>
    <t>MACRS from IRS website</t>
  </si>
  <si>
    <t>http://www.irs.gov/publications/p946/ar02.html</t>
  </si>
  <si>
    <t>Year</t>
  </si>
  <si>
    <t>TOTAL</t>
  </si>
  <si>
    <t>Federal Tax Rate (%)</t>
  </si>
  <si>
    <t>State Tax Rate (%)</t>
  </si>
  <si>
    <t>($m)</t>
  </si>
  <si>
    <t>Present
Value</t>
  </si>
  <si>
    <t>($/kW-yr)</t>
  </si>
  <si>
    <t>($m/yr)</t>
  </si>
  <si>
    <t>MOY</t>
  </si>
  <si>
    <t>EOY</t>
  </si>
  <si>
    <t>MOY 1</t>
  </si>
  <si>
    <t>EOY 0</t>
  </si>
  <si>
    <t>(1+ATWACC)/(1+Price_Growth)-1 =</t>
  </si>
  <si>
    <r>
      <t xml:space="preserve">Note: </t>
    </r>
    <r>
      <rPr>
        <sz val="10"/>
        <rFont val="Times New Roman"/>
        <family val="1"/>
      </rPr>
      <t>All dollar numbers are in nominal $.</t>
    </r>
  </si>
  <si>
    <t>Select Options</t>
  </si>
  <si>
    <t>Select Technology &gt;&gt;&gt;</t>
  </si>
  <si>
    <t>Plant Capacity (MW)</t>
  </si>
  <si>
    <t>Total Income Tax Rate (%)</t>
  </si>
  <si>
    <t>Depreciable Cost ($/kW)</t>
  </si>
  <si>
    <t>Installed Cost ($/kW)</t>
  </si>
  <si>
    <t>First Year Revenue Req.</t>
  </si>
  <si>
    <t>Net Present Value Discounted at ATWACC ($m)</t>
  </si>
  <si>
    <t>Net Present Value Discounted at Debt Rate ($m)</t>
  </si>
  <si>
    <t>Net Present Value Discounted at Equity Rate ($m)</t>
  </si>
  <si>
    <t>CT</t>
  </si>
  <si>
    <t>CC</t>
  </si>
  <si>
    <t xml:space="preserve">Technology &gt;&gt;&gt; </t>
  </si>
  <si>
    <t xml:space="preserve">Debt Ratio &gt;&gt;&gt; </t>
  </si>
  <si>
    <t xml:space="preserve">Interest During Construction &gt;&gt;&gt; </t>
  </si>
  <si>
    <t xml:space="preserve">ATWACC &gt;&gt;&gt; </t>
  </si>
  <si>
    <t xml:space="preserve">Construction Assumptions </t>
  </si>
  <si>
    <t>Construction Debt Fraction (%)</t>
  </si>
  <si>
    <t>Installed Cost ($m)</t>
  </si>
  <si>
    <t>Depreciable Cost ($m)</t>
  </si>
  <si>
    <t>(%)</t>
  </si>
  <si>
    <t>Cost</t>
  </si>
  <si>
    <t>Electric Interconnection</t>
  </si>
  <si>
    <t>Gas Interconnection</t>
  </si>
  <si>
    <t>Technology</t>
  </si>
  <si>
    <t>Mon. Until</t>
  </si>
  <si>
    <t>Completion</t>
  </si>
  <si>
    <t>EPC Costs</t>
  </si>
  <si>
    <t>(MW)</t>
  </si>
  <si>
    <t>($/kW)</t>
  </si>
  <si>
    <t>Financing Fees</t>
  </si>
  <si>
    <t>Components</t>
  </si>
  <si>
    <t>Investment Costs</t>
  </si>
  <si>
    <t>Operating Costs</t>
  </si>
  <si>
    <t>Depreciation Tax Shield</t>
  </si>
  <si>
    <t>Project:</t>
  </si>
  <si>
    <t>Date:</t>
  </si>
  <si>
    <t>Notes:</t>
  </si>
  <si>
    <t>Access:</t>
  </si>
  <si>
    <t>Updated:</t>
  </si>
  <si>
    <t>Materials Cost Indexing</t>
  </si>
  <si>
    <t>Wind Turbine Cost Index</t>
  </si>
  <si>
    <t>Other Equipment Cost Index</t>
  </si>
  <si>
    <t>Bloomberg Wind Turbine Price Index</t>
  </si>
  <si>
    <t>Hampden County, MA</t>
  </si>
  <si>
    <t>Wind</t>
  </si>
  <si>
    <t>Materials</t>
  </si>
  <si>
    <t>Equipment</t>
  </si>
  <si>
    <t>Fuel Costs ($m)</t>
  </si>
  <si>
    <t>Variable O&amp;M ($m)</t>
  </si>
  <si>
    <t>Production Tax Credit ($m)</t>
  </si>
  <si>
    <r>
      <t xml:space="preserve">Net Income Tax ($m) </t>
    </r>
    <r>
      <rPr>
        <i/>
        <sz val="10"/>
        <color indexed="55"/>
        <rFont val="Times New Roman"/>
        <family val="1"/>
      </rPr>
      <t>ALL-EQUITY</t>
    </r>
  </si>
  <si>
    <r>
      <t xml:space="preserve">Gross Income Tax ($m) </t>
    </r>
    <r>
      <rPr>
        <i/>
        <sz val="10"/>
        <color indexed="55"/>
        <rFont val="Times New Roman"/>
        <family val="1"/>
      </rPr>
      <t>ALL-EQUITY</t>
    </r>
  </si>
  <si>
    <t>REC Revenues</t>
  </si>
  <si>
    <t>Total Revenue ($m)</t>
  </si>
  <si>
    <t>Tax Credit</t>
  </si>
  <si>
    <t>Gas and Steam Turbine Cost Index</t>
  </si>
  <si>
    <t>September 2013</t>
  </si>
  <si>
    <t>Worksheet:</t>
  </si>
  <si>
    <t>Tax Depreciation</t>
  </si>
  <si>
    <t>Cost Index Data</t>
  </si>
  <si>
    <t>Capital Drawdown Schedule</t>
  </si>
  <si>
    <t>Construction Cashflows</t>
  </si>
  <si>
    <t>ORTP Summary</t>
  </si>
  <si>
    <t>Owner's Costs (Services)</t>
  </si>
  <si>
    <t>Location</t>
  </si>
  <si>
    <t>Non-EPC Costs</t>
  </si>
  <si>
    <t>Comments</t>
  </si>
  <si>
    <t>-</t>
  </si>
  <si>
    <t>PPI Turbines</t>
  </si>
  <si>
    <t>PPI Equipment</t>
  </si>
  <si>
    <t>Construction Labor</t>
  </si>
  <si>
    <t>PPI Materials</t>
  </si>
  <si>
    <t>EPC Contractor Fee</t>
  </si>
  <si>
    <t>Subtotal - EPC Costs</t>
  </si>
  <si>
    <t>Electrical Interconnection</t>
  </si>
  <si>
    <t>PPI - Elect. Dist.</t>
  </si>
  <si>
    <t>Emission Reduction Credits</t>
  </si>
  <si>
    <t>GDPD</t>
  </si>
  <si>
    <t>Land</t>
  </si>
  <si>
    <t>Subtotal - Non-EPC Costs</t>
  </si>
  <si>
    <t xml:space="preserve">    </t>
  </si>
  <si>
    <t>Cooling System</t>
  </si>
  <si>
    <t>Power Augmentation</t>
  </si>
  <si>
    <t>Environmental Controls</t>
  </si>
  <si>
    <t>Dual Fuel Capability</t>
  </si>
  <si>
    <t>Unit Specifications</t>
  </si>
  <si>
    <t>Blackstart Capability</t>
  </si>
  <si>
    <t>On-Site Gas Compression</t>
  </si>
  <si>
    <t>Acreage</t>
  </si>
  <si>
    <t>GE LMS100 PA</t>
  </si>
  <si>
    <t>2 x 0</t>
  </si>
  <si>
    <t>Dry</t>
  </si>
  <si>
    <t>No</t>
  </si>
  <si>
    <t>Yes</t>
  </si>
  <si>
    <t>Net Plant Capacity (MW)</t>
  </si>
  <si>
    <t>---</t>
  </si>
  <si>
    <t>Natural Gas</t>
  </si>
  <si>
    <t>Primary Fuel</t>
  </si>
  <si>
    <t>$/mile</t>
  </si>
  <si>
    <t>miles</t>
  </si>
  <si>
    <t>Owner Contingency</t>
  </si>
  <si>
    <t>Capital Cost Assumptions</t>
  </si>
  <si>
    <t>Escalation Rate</t>
  </si>
  <si>
    <t>Capital Costs</t>
  </si>
  <si>
    <t>Other Labor (Eng, Procurement, Proj Mgt, Commissioning, etc.)</t>
  </si>
  <si>
    <t>Units</t>
  </si>
  <si>
    <t>Combustion Turbine</t>
  </si>
  <si>
    <t>Combined Cycle Gas Turbine</t>
  </si>
  <si>
    <t>On-Shore Wind</t>
  </si>
  <si>
    <t xml:space="preserve">     Labor </t>
  </si>
  <si>
    <t xml:space="preserve">     Materials and Contract Services </t>
  </si>
  <si>
    <t xml:space="preserve">     Administrative and General</t>
  </si>
  <si>
    <t xml:space="preserve">     Site Leasing Costs</t>
  </si>
  <si>
    <t xml:space="preserve">     Property Taxes</t>
  </si>
  <si>
    <t xml:space="preserve">     Insurance  </t>
  </si>
  <si>
    <t xml:space="preserve">     Major Maintenance - Hours Based</t>
  </si>
  <si>
    <t>CT and CC value is zero if starts-based major maintenance.</t>
  </si>
  <si>
    <t xml:space="preserve">     Consumables, Waste Disposal, and Other VOM</t>
  </si>
  <si>
    <t>Variable O&amp;M - Starts Based ($/factored start, per turbine)</t>
  </si>
  <si>
    <t>CT and CC value is zero if hours-based major maintenance.</t>
  </si>
  <si>
    <t>O&amp;M Costs</t>
  </si>
  <si>
    <t xml:space="preserve">Equivalent Forced Outage Rate - Demand Based </t>
  </si>
  <si>
    <t>Property Tax - Land</t>
  </si>
  <si>
    <t>Property Tax - Plant</t>
  </si>
  <si>
    <t>Annual Updates Calcs</t>
  </si>
  <si>
    <t>EPC Contingency</t>
  </si>
  <si>
    <t>Owner's Contingency</t>
  </si>
  <si>
    <t>Subtotal - Non-EPC Costs w/o Financing Fees</t>
  </si>
  <si>
    <t>Total Fixed O&amp;M ($)</t>
  </si>
  <si>
    <t>Total Fixed O&amp;M ($/kW-year)</t>
  </si>
  <si>
    <t>Update Factor</t>
  </si>
  <si>
    <t>Annual Update Factors</t>
  </si>
  <si>
    <t>Permitting, Legal, Owner's Project Mgmt. &amp; Engineering, Development Costs, &amp; Studies.</t>
  </si>
  <si>
    <t>Months To Completion</t>
  </si>
  <si>
    <t>Date Updated:</t>
  </si>
  <si>
    <t>Jan</t>
  </si>
  <si>
    <t>Feb</t>
  </si>
  <si>
    <t>Mar</t>
  </si>
  <si>
    <t>Apr</t>
  </si>
  <si>
    <t>May</t>
  </si>
  <si>
    <t>Jun</t>
  </si>
  <si>
    <t>Jul</t>
  </si>
  <si>
    <t>Aug</t>
  </si>
  <si>
    <t>Sep</t>
  </si>
  <si>
    <t>Oct</t>
  </si>
  <si>
    <t>Nov</t>
  </si>
  <si>
    <t>Dec</t>
  </si>
  <si>
    <t>ID</t>
  </si>
  <si>
    <t>Index Name</t>
  </si>
  <si>
    <t>Index Value</t>
  </si>
  <si>
    <t>Total Plant</t>
  </si>
  <si>
    <t>Capital Cost</t>
  </si>
  <si>
    <t>Installed</t>
  </si>
  <si>
    <t>Fixed</t>
  </si>
  <si>
    <t>After-Tax</t>
  </si>
  <si>
    <t>WACC</t>
  </si>
  <si>
    <t>ORTP</t>
  </si>
  <si>
    <t>Revenue</t>
  </si>
  <si>
    <t>($/kW-mo)</t>
  </si>
  <si>
    <t>2018/19</t>
  </si>
  <si>
    <t>Electric Interconnection Cost Indexing</t>
  </si>
  <si>
    <t>PPI - Gas Dist.</t>
  </si>
  <si>
    <t>Gas Interconnection Cost Indexing</t>
  </si>
  <si>
    <t>Update Year:</t>
  </si>
  <si>
    <t>Bloomberg Wind</t>
  </si>
  <si>
    <t>Delivery Year</t>
  </si>
  <si>
    <t>2019/20</t>
  </si>
  <si>
    <t>2020/21</t>
  </si>
  <si>
    <t>Capacity Factor</t>
  </si>
  <si>
    <t>ULSD</t>
  </si>
  <si>
    <t>Siemens SGT6-5000F(5)</t>
  </si>
  <si>
    <t>2 x 2 x 1</t>
  </si>
  <si>
    <t>Western ME</t>
  </si>
  <si>
    <t>Water Injection NOx Control
Pulse Inlet Air Filters
SCR
CO Catalyst</t>
  </si>
  <si>
    <t>Dry Low NOx Burners
Inlet Air Filters
SCR
CO Catalyst</t>
  </si>
  <si>
    <t>ATWACC nominal</t>
  </si>
  <si>
    <t>Debt Rate</t>
  </si>
  <si>
    <t>Total</t>
  </si>
  <si>
    <t>Summary of Operating Cash Flows</t>
  </si>
  <si>
    <t>Summary of Construction Cash Flows</t>
  </si>
  <si>
    <t>Construction Month</t>
  </si>
  <si>
    <t>Monthly Debt Rate =</t>
  </si>
  <si>
    <t>Monthly ATWACC nominal =</t>
  </si>
  <si>
    <t>Configuration</t>
  </si>
  <si>
    <t>Evaporative Cooling
No inlet chillers</t>
  </si>
  <si>
    <t>Interconnection</t>
  </si>
  <si>
    <t>Plot Size (acres)</t>
  </si>
  <si>
    <t>115 kV</t>
  </si>
  <si>
    <t>Investment Tax Credit ($m)</t>
  </si>
  <si>
    <t>Boiler / Heat Recovery Steam Generator</t>
  </si>
  <si>
    <t>Gas Turbines</t>
  </si>
  <si>
    <t>Equipment Subtotal</t>
  </si>
  <si>
    <t>Steam Turbines</t>
  </si>
  <si>
    <t>Wind Turbines</t>
  </si>
  <si>
    <t>Other Equipment</t>
  </si>
  <si>
    <t>Owner's Cost</t>
  </si>
  <si>
    <t>% of EPC costs</t>
  </si>
  <si>
    <t>Miles</t>
  </si>
  <si>
    <t>Substation Expansion</t>
  </si>
  <si>
    <t>$m</t>
  </si>
  <si>
    <t>Substation</t>
  </si>
  <si>
    <t>%</t>
  </si>
  <si>
    <t>acre</t>
  </si>
  <si>
    <t>% of other EPC costs</t>
  </si>
  <si>
    <t>% of other Owner's costs</t>
  </si>
  <si>
    <t>MW</t>
  </si>
  <si>
    <t>EFORd</t>
  </si>
  <si>
    <t>mmBtu/start, per Unit</t>
  </si>
  <si>
    <t>Working Capital</t>
  </si>
  <si>
    <t>Capacity Factor for Inventory Days</t>
  </si>
  <si>
    <t>days</t>
  </si>
  <si>
    <t>$/mmBtu</t>
  </si>
  <si>
    <t>Fuel Oil Price</t>
  </si>
  <si>
    <t>Fuel Oil Heating Value</t>
  </si>
  <si>
    <t>Btu/gallon</t>
  </si>
  <si>
    <t>gallons</t>
  </si>
  <si>
    <t>Fuel Oil Inventory</t>
  </si>
  <si>
    <t>$/gallon</t>
  </si>
  <si>
    <t>$</t>
  </si>
  <si>
    <t>Fuel Oil Inventory Cost</t>
  </si>
  <si>
    <t xml:space="preserve">   (without duct firing)</t>
  </si>
  <si>
    <t>Net Plant Capacity - ICAP (with duct firing)</t>
  </si>
  <si>
    <t>Btu/kWh, HHV</t>
  </si>
  <si>
    <t>Insurance</t>
  </si>
  <si>
    <t>Natural Gas Consumed During Start *</t>
  </si>
  <si>
    <t>Overnight Capital Costs ($/kW)</t>
  </si>
  <si>
    <t xml:space="preserve">Includes backup fuel inventory, spare parts inventories, and other. </t>
  </si>
  <si>
    <t>Transmission Line Cost</t>
  </si>
  <si>
    <t>Pipeline Cost</t>
  </si>
  <si>
    <t xml:space="preserve">Land Leasing Cost </t>
  </si>
  <si>
    <t>$/acre-year</t>
  </si>
  <si>
    <t>$m/yr</t>
  </si>
  <si>
    <t>% of Leasing Costs</t>
  </si>
  <si>
    <t>% of Overnight Capital Costs</t>
  </si>
  <si>
    <t xml:space="preserve">Variable O&amp;M </t>
  </si>
  <si>
    <t>Variable O&amp;M - Hours Based ($/MWh)</t>
  </si>
  <si>
    <t>Fixed O&amp;M</t>
  </si>
  <si>
    <t>Days of Fuel Oil Inventory</t>
  </si>
  <si>
    <t>Net CONE</t>
  </si>
  <si>
    <t>Revenue Offsets</t>
  </si>
  <si>
    <t>E&amp;AS</t>
  </si>
  <si>
    <t>RECs</t>
  </si>
  <si>
    <t>Cumulative Dollars Spent ($m)</t>
  </si>
  <si>
    <t>Overnight Cost ($m)</t>
  </si>
  <si>
    <t>Costs in red calculated based on percentage of other costs.</t>
  </si>
  <si>
    <t>Included as site leasing costs in Fixed O&amp;M.</t>
  </si>
  <si>
    <t>If applicable.</t>
  </si>
  <si>
    <t>Overnight Capital Costs ($)</t>
  </si>
  <si>
    <t>Condenser</t>
  </si>
  <si>
    <t>Sales Tax</t>
  </si>
  <si>
    <t>Sales Tax Rates</t>
  </si>
  <si>
    <t>State Income Tax Rates</t>
  </si>
  <si>
    <t>Annual Escalation Rate</t>
  </si>
  <si>
    <t>37 x 1.62 MW</t>
  </si>
  <si>
    <t>GE 1.6-100</t>
  </si>
  <si>
    <t>Inflation Adder</t>
  </si>
  <si>
    <t>Capacity Factor (%)</t>
  </si>
  <si>
    <t>PTC</t>
  </si>
  <si>
    <t>PTC ($/MWh)</t>
  </si>
  <si>
    <t>Qualified Capacity</t>
  </si>
  <si>
    <t>E&amp;A/S Margins</t>
  </si>
  <si>
    <t>Fixed O&amp;M ($/kW-yr)</t>
  </si>
  <si>
    <t>E&amp;A/S Margins ($m)</t>
  </si>
  <si>
    <t>REC Revenues ($m)</t>
  </si>
  <si>
    <t>Capacity Payment ($m)</t>
  </si>
  <si>
    <t>REC Price ($/MWh)</t>
  </si>
  <si>
    <t>without Duct Firing (MW)</t>
  </si>
  <si>
    <t xml:space="preserve">Other Labor </t>
  </si>
  <si>
    <t>Engineering, Procurement, Proj Mgt, Commissioning, etc.</t>
  </si>
  <si>
    <t>Capital Costs ($m)</t>
  </si>
  <si>
    <t>Cash Flow (%)</t>
  </si>
  <si>
    <t>Gross CONE</t>
  </si>
  <si>
    <t>$/MWh</t>
  </si>
  <si>
    <t>PI</t>
  </si>
  <si>
    <t>Performance Incentives</t>
  </si>
  <si>
    <t>Performance Incentives ($m)</t>
  </si>
  <si>
    <t>$/kW-mo</t>
  </si>
  <si>
    <t>Value</t>
  </si>
  <si>
    <t>Performance Incentives ($/kW-mo)</t>
  </si>
  <si>
    <t>E&amp;AS Margins ($/kW-mo)</t>
  </si>
  <si>
    <t>Gross</t>
  </si>
  <si>
    <t>CONE</t>
  </si>
  <si>
    <t>Total EPC Costs</t>
  </si>
  <si>
    <t>Total Non-EPC Costs</t>
  </si>
  <si>
    <t>Index</t>
  </si>
  <si>
    <t>Installed Capacity</t>
  </si>
  <si>
    <t>$/kW</t>
  </si>
  <si>
    <t>ATWACC</t>
  </si>
  <si>
    <t>Levelized Capital Costs</t>
  </si>
  <si>
    <t>Capital Costs (Installed)</t>
  </si>
  <si>
    <t>Onshore Wind</t>
  </si>
  <si>
    <t>Net</t>
  </si>
  <si>
    <t>Energy Efficiency</t>
  </si>
  <si>
    <t>Large DR</t>
  </si>
  <si>
    <t>Mass Market DR</t>
  </si>
  <si>
    <t>Combined Cycle</t>
  </si>
  <si>
    <t>Capacity</t>
  </si>
  <si>
    <t>Overnight</t>
  </si>
  <si>
    <t>n.a.</t>
  </si>
  <si>
    <t>Reference</t>
  </si>
  <si>
    <t>CT_2013$</t>
  </si>
  <si>
    <t>CC_2013$</t>
  </si>
  <si>
    <t>Wind_2013$</t>
  </si>
  <si>
    <t>CT_2018$</t>
  </si>
  <si>
    <t>CC_2018$</t>
  </si>
  <si>
    <t>Wind_2018$</t>
  </si>
  <si>
    <t>Substation Equipment (breakers)</t>
  </si>
  <si>
    <t>115 kV Transmission Line (miles)</t>
  </si>
  <si>
    <t>Quantity</t>
  </si>
  <si>
    <t>Component</t>
  </si>
  <si>
    <t>Metering Station</t>
  </si>
  <si>
    <t>Pipeline (miles)</t>
  </si>
  <si>
    <t>345 kV Transmission Line (miles)</t>
  </si>
  <si>
    <t>Simple Cycle</t>
  </si>
  <si>
    <t>Substation Buildout</t>
  </si>
  <si>
    <t>Net Plant Heat Rate - Summer/Winter Average</t>
  </si>
  <si>
    <t>Interest During Construction ($m)</t>
  </si>
  <si>
    <t>IDC + Depreciable Assets ($m)</t>
  </si>
  <si>
    <t>Overnight Cost ($/kW)</t>
  </si>
  <si>
    <t>$/yr</t>
  </si>
  <si>
    <t>Total Incremental Costs</t>
  </si>
  <si>
    <t>Sales Rep. Commission</t>
  </si>
  <si>
    <t>Customer Incentive</t>
  </si>
  <si>
    <t>Equipment Costs</t>
  </si>
  <si>
    <t>Incremental Costs</t>
  </si>
  <si>
    <t>Capacity Clearing Price</t>
  </si>
  <si>
    <t>Sales Commission</t>
  </si>
  <si>
    <t>years</t>
  </si>
  <si>
    <t>Contract Life</t>
  </si>
  <si>
    <t>kW</t>
  </si>
  <si>
    <t>Demand Reduction</t>
  </si>
  <si>
    <t>Values</t>
  </si>
  <si>
    <t>Large C&amp;I</t>
  </si>
  <si>
    <t>Annual Customer Incentives</t>
  </si>
  <si>
    <t>Initial Customer Incentives</t>
  </si>
  <si>
    <t>Total Installation Costs</t>
  </si>
  <si>
    <t xml:space="preserve"> Values</t>
  </si>
  <si>
    <t>Mass Market</t>
  </si>
  <si>
    <t>Depreciation Schedule</t>
  </si>
  <si>
    <t>Mass Market DR Calculations</t>
  </si>
  <si>
    <t>Reconfiguration Clearing Price</t>
  </si>
  <si>
    <t xml:space="preserve">Unit Price </t>
  </si>
  <si>
    <t>(m$)</t>
  </si>
  <si>
    <t>(#)</t>
  </si>
  <si>
    <t>Interconnection Cost Assumptions</t>
  </si>
  <si>
    <t>Unit</t>
  </si>
  <si>
    <t>$/kW-yr</t>
  </si>
  <si>
    <t>Solar PV</t>
  </si>
  <si>
    <t>2012$</t>
  </si>
  <si>
    <t>Solar</t>
  </si>
  <si>
    <t>Qualified Capacity (%)</t>
  </si>
  <si>
    <t>2016$/MWh</t>
  </si>
  <si>
    <t>2013$/MWh</t>
  </si>
  <si>
    <r>
      <t xml:space="preserve">Note: </t>
    </r>
    <r>
      <rPr>
        <sz val="10"/>
        <rFont val="Times New Roman"/>
        <family val="1"/>
      </rPr>
      <t>All dollar numbers are in 2013$.</t>
    </r>
  </si>
  <si>
    <t xml:space="preserve">   </t>
  </si>
  <si>
    <t>* May require fuel oil for biomass plant start, depending upon site infrastructure; assumes cold start for CT and warm start for CC and biomass.</t>
  </si>
  <si>
    <t>Net Heat Rate (Btu/kWh,HHV)</t>
  </si>
  <si>
    <t>without Duct Firing (Btu/kWh, HHV)</t>
  </si>
  <si>
    <t>Boiler / HRSG / SCR</t>
  </si>
  <si>
    <t>Term</t>
  </si>
  <si>
    <t>($/MWh)</t>
  </si>
  <si>
    <t>Estimates of Historical and Future E&amp;AS Margins</t>
  </si>
  <si>
    <t>2018/2019</t>
  </si>
  <si>
    <t>Historical Electricity Prices at Mass Hub</t>
  </si>
  <si>
    <t>Note: Calculated by taking simple average of hourly on-peak electricity prices. Hourly on-peak electricity prices provided by Ventyx</t>
  </si>
  <si>
    <t>Estimates of Electricity and Gas Futures</t>
  </si>
  <si>
    <t>Henry Hub
($/MMBtu)</t>
  </si>
  <si>
    <t>Term through the end of predicted period</t>
  </si>
  <si>
    <t>Forecasted E&amp;AS Margins ($/kW-mo)</t>
  </si>
  <si>
    <t>Actual Energy Margin / Elec Pric</t>
  </si>
  <si>
    <t>Month and year being forecasted</t>
  </si>
  <si>
    <t>Electricity price with predicted values italicized. See "Futures" tab for how predictions are calculated</t>
  </si>
  <si>
    <t>Onshore 
Wind</t>
  </si>
  <si>
    <t>Historical and Future E&amp;AS Margin Results</t>
  </si>
  <si>
    <t>E&amp;AS Margin Forecast Calculations</t>
  </si>
  <si>
    <t>Current and Projected Electricity and Gas Futures Prices</t>
  </si>
  <si>
    <t>Historical Electricity Prices</t>
  </si>
  <si>
    <t>Month</t>
  </si>
  <si>
    <t>Years Used</t>
  </si>
  <si>
    <t>First of Mo</t>
  </si>
  <si>
    <t>Mktg, Sales &amp; Recruitment</t>
  </si>
  <si>
    <t>Installation Costs</t>
  </si>
  <si>
    <t>345 kV</t>
  </si>
  <si>
    <t>Actual Energy Margin 
($/kW-mo)</t>
  </si>
  <si>
    <t>Forecasted Energy Margin 
($/kW-mo)</t>
  </si>
  <si>
    <t>Date</t>
  </si>
  <si>
    <t>Mass Hub On-Peak Electricity Price 
($/MWh)</t>
  </si>
  <si>
    <t>Implied Market 
Heat Rate 
(Btu/kWh)</t>
  </si>
  <si>
    <t>Algonquin 
City-Gates
($/MMBtu)</t>
  </si>
  <si>
    <t>Algonquin 
City-Gates Adder
($/MMBtu)</t>
  </si>
  <si>
    <t>Annual Energy Savings</t>
  </si>
  <si>
    <t>MWh</t>
  </si>
  <si>
    <t>Energy Benefit</t>
  </si>
  <si>
    <t xml:space="preserve">Avoided T&amp;D Costs </t>
  </si>
  <si>
    <t>Energy Savings</t>
  </si>
  <si>
    <t>T&amp;D Savings</t>
  </si>
  <si>
    <t>Vermont</t>
  </si>
  <si>
    <t>New Hampshire</t>
  </si>
  <si>
    <t>Maine</t>
  </si>
  <si>
    <t>Connecticut (UI)</t>
  </si>
  <si>
    <t>Massachusetts</t>
  </si>
  <si>
    <t>Rhode Island</t>
  </si>
  <si>
    <t>Residential New Construction</t>
  </si>
  <si>
    <t>ENERGY STAR Lighting</t>
  </si>
  <si>
    <t>Residential Lighting</t>
  </si>
  <si>
    <t>Residential Consumer Products</t>
  </si>
  <si>
    <t>Resid'tl. New Constrct. &amp; Renovations</t>
  </si>
  <si>
    <t>Large Commercial New Construction</t>
  </si>
  <si>
    <t>Residential Efficient Products</t>
  </si>
  <si>
    <t>ENERGY STAR Homes</t>
  </si>
  <si>
    <t>Residential Appliances</t>
  </si>
  <si>
    <t xml:space="preserve">Residential New Construction </t>
  </si>
  <si>
    <t>Residential Heating and Water Heating</t>
  </si>
  <si>
    <t>Large Commercial Retrofit</t>
  </si>
  <si>
    <t>Business New Construction</t>
  </si>
  <si>
    <t>Home Energy Solutions</t>
  </si>
  <si>
    <t>Business Incentive Program</t>
  </si>
  <si>
    <t xml:space="preserve">Home Energy Solutions </t>
  </si>
  <si>
    <t>Multifamily Retrofit</t>
  </si>
  <si>
    <t>Small Business Direct Install</t>
  </si>
  <si>
    <t>Business Existing Facilities</t>
  </si>
  <si>
    <t>ENERGY STAR Appliances</t>
  </si>
  <si>
    <t>Large Customer</t>
  </si>
  <si>
    <t>C&amp;I Lost Opportunity</t>
  </si>
  <si>
    <t>MassSAVE</t>
  </si>
  <si>
    <t>Single Family - Low Income Services</t>
  </si>
  <si>
    <t>Residential Existing Homes</t>
  </si>
  <si>
    <t>New Equipment &amp; Construction</t>
  </si>
  <si>
    <t xml:space="preserve">C&amp;I Large Retrofit </t>
  </si>
  <si>
    <t>O Power</t>
  </si>
  <si>
    <t>Large C&amp;I Retrofit</t>
  </si>
  <si>
    <t>C&amp;I Small Business</t>
  </si>
  <si>
    <t>ENERGY STAR® HVAC</t>
  </si>
  <si>
    <t>Small Business Energy Solutions</t>
  </si>
  <si>
    <r>
      <t>Energy</t>
    </r>
    <r>
      <rPr>
        <i/>
        <sz val="10"/>
        <color indexed="8"/>
        <rFont val="Times New Roman"/>
        <family val="1"/>
      </rPr>
      <t>Wise</t>
    </r>
  </si>
  <si>
    <t>C&amp;I New Constrct. &amp; Major Renovations</t>
  </si>
  <si>
    <t>ENERGY STAR® Lighting</t>
  </si>
  <si>
    <t>C&amp;I Large Retrofit</t>
  </si>
  <si>
    <t>ENERGY STAR® Appliances</t>
  </si>
  <si>
    <t>C&amp;I Small Retrofit</t>
  </si>
  <si>
    <t>Notes and Sources:</t>
  </si>
  <si>
    <t>VT- Efficient Vermont Savings Claim Summary 2012 pp. 26; Cost category definitions: pp.118-122</t>
  </si>
  <si>
    <t>VT- Efficient Vermont Savings Claim Summary 2012; used "Summer Coincident Peak kW Savings"</t>
  </si>
  <si>
    <t>NH - NH Core Energy Efficiency Programs, NHPUC Docket No. DE 10-188, Summary; pp.128 Attachment H Budget Details</t>
  </si>
  <si>
    <t>NH - NH Core Energy Efficiency Programs, NHPUC Docket No. DE 10-188, pp.90,100,110,120 Customer Costs</t>
  </si>
  <si>
    <t>ME- Efficiency Maine 2012 Annual Report Appendix B p56 Efficiency Maine Program Impacts</t>
  </si>
  <si>
    <t>ME - Efficiency Maine 2012 Annual Report Appendix B p57 Efficiency Maine Program Expenditures</t>
  </si>
  <si>
    <t>CT (CLP) - 2012 Electic and Natural Gas Conservation and Load Managemnet Plan, Docket No. 11-10-03, September 30, 2011</t>
  </si>
  <si>
    <t>pp.31 CLP Costs, pp.28 CLP Savings</t>
  </si>
  <si>
    <t>CT (UI) - 2012 Electic and Natural Gas Conservation and Load Managemnet Plan, Docket No. 11-10-03, September 30, 2011</t>
  </si>
  <si>
    <t>pp.40 UI Costs, pp.38 UI Savings</t>
  </si>
  <si>
    <t>MA - Massachusetts Joint Statewide Three-Year Electric Energy Efficiency Plan pp. 74-75 for expenses, pp.92-93 Participant Costs, pp.99-100 Savings</t>
  </si>
  <si>
    <t xml:space="preserve">Vermont </t>
  </si>
  <si>
    <t>Connecticut (CLP)</t>
  </si>
  <si>
    <t>Connecticut Programs (UI)</t>
  </si>
  <si>
    <t xml:space="preserve">Massachusetts </t>
  </si>
  <si>
    <t>Program Bundle</t>
  </si>
  <si>
    <t>Efficient Products</t>
  </si>
  <si>
    <t>Existing Homes</t>
  </si>
  <si>
    <t>Home Energy Assistance</t>
  </si>
  <si>
    <t>Consumer Products</t>
  </si>
  <si>
    <t>HES Income Eligible</t>
  </si>
  <si>
    <t>Residential New Construction &amp; Major Renovation</t>
  </si>
  <si>
    <t>Residential Cooling &amp; Heating Equipment</t>
  </si>
  <si>
    <t>Multi-Family Retrofit</t>
  </si>
  <si>
    <t>C&amp;I New Construction &amp; Major Renovation</t>
  </si>
  <si>
    <t>C&amp;I New Construction &amp; Major Renovation-Government</t>
  </si>
  <si>
    <t>C&amp;I Large Retrofit-Government</t>
  </si>
  <si>
    <t>C&amp;I Small Retrofit-Government</t>
  </si>
  <si>
    <t>Low-Income Residential New Construction</t>
  </si>
  <si>
    <t>Low Income Retrofit Total</t>
  </si>
  <si>
    <t>EnergyWise</t>
  </si>
  <si>
    <t>Savings</t>
  </si>
  <si>
    <t xml:space="preserve"> Lifetime Savings</t>
  </si>
  <si>
    <t xml:space="preserve"> Annualized Savings</t>
  </si>
  <si>
    <t>Performance</t>
  </si>
  <si>
    <t xml:space="preserve"> Resource Size (at meter)</t>
  </si>
  <si>
    <t xml:space="preserve"> Loss Multiplier</t>
  </si>
  <si>
    <t xml:space="preserve"> Resource Size (at generator bus bar)</t>
  </si>
  <si>
    <t xml:space="preserve"> Labor &amp; Services</t>
  </si>
  <si>
    <t xml:space="preserve"> Materials &amp; Supplies</t>
  </si>
  <si>
    <t xml:space="preserve"> Incentives</t>
  </si>
  <si>
    <t xml:space="preserve"> Marketing, A&amp;G, Other</t>
  </si>
  <si>
    <t xml:space="preserve"> Customer Costs</t>
  </si>
  <si>
    <t xml:space="preserve"> M&amp;V</t>
  </si>
  <si>
    <t>Total Utility Costs</t>
  </si>
  <si>
    <t>Cost per kW</t>
  </si>
  <si>
    <t>Escalated Cost per kW</t>
  </si>
  <si>
    <t>Program Life</t>
  </si>
  <si>
    <t>Massachusetts EE Raw Data</t>
  </si>
  <si>
    <t>Sources:</t>
  </si>
  <si>
    <t>Massachusetts Joint Statewide Three-Year Electric Energy Efficiency Plan pp. 74-75 for expenses, pp.92-93 Participant Costs, pp.99-100 Savings</t>
  </si>
  <si>
    <t>Mass Program Budget 2012</t>
  </si>
  <si>
    <t>Residential</t>
  </si>
  <si>
    <t>Program Planning and Administration</t>
  </si>
  <si>
    <t>Marketing and Advertising</t>
  </si>
  <si>
    <t>Participant Incentive</t>
  </si>
  <si>
    <t>Sales, Technical Assistance &amp; Training</t>
  </si>
  <si>
    <t>Evaluation and Market Research</t>
  </si>
  <si>
    <t>Performance
 Incentive</t>
  </si>
  <si>
    <t>Parcipant Costs</t>
  </si>
  <si>
    <t>Summer Peak kW</t>
  </si>
  <si>
    <t>Annualized Savings MWh</t>
  </si>
  <si>
    <t>Lifetime Savings MWh</t>
  </si>
  <si>
    <t>Residential Total</t>
  </si>
  <si>
    <t>Low Income</t>
  </si>
  <si>
    <t>Low-Income 1 to 4 Family Retrofit</t>
  </si>
  <si>
    <t>Low-Income Multi Family Retrofit</t>
  </si>
  <si>
    <t>Low Income Total</t>
  </si>
  <si>
    <t>Commercial &amp; Industrial</t>
  </si>
  <si>
    <t>Comm'l &amp; Industrial Total</t>
  </si>
  <si>
    <t>Summer Peak: June – September; 6:00 a.m. – 10:00 p.m., weekdays excluding holidays.</t>
  </si>
  <si>
    <t>Summer Peak Energy Benefit ($) = kWhNet * Energy%SumPk * SumPk$/kWh(@Life) * (1 + %LossesSumPk-kWh)</t>
  </si>
  <si>
    <t>Program Planning and Administration (PP&amp;A)</t>
  </si>
  <si>
    <t>The funds in the PP&amp;A budget category provide for all in-house and outsourced costs associated with planning activities and program administration.</t>
  </si>
  <si>
    <r>
      <t>This budget provides funds for all in-house and outsourced costs associated with marketing activities such as the development and implementation of advertising campaigns t</t>
    </r>
    <r>
      <rPr>
        <sz val="10"/>
        <color rgb="FFFF0000"/>
        <rFont val="Times New Roman"/>
        <family val="1"/>
      </rPr>
      <t xml:space="preserve">hat inform customers about energy efficient products and services and other </t>
    </r>
  </si>
  <si>
    <t>special energy education efforts.</t>
  </si>
  <si>
    <t xml:space="preserve"> The budget dollars in this category fund customer incentive costs (e.g., rebates) needed to overcome market barriers.</t>
  </si>
  <si>
    <t xml:space="preserve">The function of the dollars budgeted in this category is to provide for all in-house and outsourced costs </t>
  </si>
  <si>
    <t>associated with implementation activities, including inspections and technical assistance, and all costs related to delivery of the program.</t>
  </si>
  <si>
    <t>Evaluation &amp; Market Research</t>
  </si>
  <si>
    <t>Budgeted dollars in this category fund all in-house and outsourced costs associated with evaluation activities,</t>
  </si>
  <si>
    <t>including costs related to cost-effectiveness evaluation, market research (e.g., baseline studies, market assessments, surveys),</t>
  </si>
  <si>
    <t>impact and process evaluation reports, and other costs clearly associated with evaluating the program.</t>
  </si>
  <si>
    <t>Performance Incentive</t>
  </si>
  <si>
    <t>This budget category funds the performance incentive that can be earned by electric distribution companiesgoals.</t>
  </si>
  <si>
    <t xml:space="preserve"> if they meet established </t>
  </si>
  <si>
    <t xml:space="preserve">Participant Costs </t>
  </si>
  <si>
    <t>Program participant costs include initial costs incurred by customers as a result of their participation in the program.</t>
  </si>
  <si>
    <t>Vermont EE Raw Data</t>
  </si>
  <si>
    <t xml:space="preserve"> VT- Efficient Vermont Savings Claim Summary 2012; used "Summer Coincident Peak kW Savings"</t>
  </si>
  <si>
    <t>Administration</t>
  </si>
  <si>
    <t>Operations and Implementation</t>
  </si>
  <si>
    <t>Strategy and Planning</t>
  </si>
  <si>
    <t>Subtotal Operating Costs</t>
  </si>
  <si>
    <t>Technical Assistance Costs</t>
  </si>
  <si>
    <t>Services to Participants</t>
  </si>
  <si>
    <t>Services to Trade Allies</t>
  </si>
  <si>
    <t>Subtotal Technical Assistance Costs</t>
  </si>
  <si>
    <t>Support Services</t>
  </si>
  <si>
    <t>Transportation</t>
  </si>
  <si>
    <t>Targeted Implementation</t>
  </si>
  <si>
    <t>Consulting</t>
  </si>
  <si>
    <t>Marketing</t>
  </si>
  <si>
    <t>EM&amp;V</t>
  </si>
  <si>
    <t>Policy</t>
  </si>
  <si>
    <t>Information Technology</t>
  </si>
  <si>
    <t>Customer Support</t>
  </si>
  <si>
    <t>Business Development</t>
  </si>
  <si>
    <t>Subtotal Support Services Costs</t>
  </si>
  <si>
    <t>Incentive Costs</t>
  </si>
  <si>
    <t>Incentives to Participants</t>
  </si>
  <si>
    <t>Incentives to Trade Allies</t>
  </si>
  <si>
    <t>Subtotal Incentive Costs</t>
  </si>
  <si>
    <t>Total Efficiency Vermont Costs</t>
  </si>
  <si>
    <t>Total Participant Costs</t>
  </si>
  <si>
    <t>Total Third Party Costs</t>
  </si>
  <si>
    <t>Total Resource Acquisition Costs</t>
  </si>
  <si>
    <t>Resource Size</t>
  </si>
  <si>
    <t>New Hampshire EE Raw Data</t>
  </si>
  <si>
    <t>NH Core Energy Efficiency Programs, NHPUC Docket No. DE 10-188, Summary; pp.128 Attachment H Budget Details</t>
  </si>
  <si>
    <t>NH Core Energy Efficiency Programs, NHPUC Docket No. DE 10-188, pp.90,100,110,120 Customer Costs</t>
  </si>
  <si>
    <t>NH 2010 (Jan-Sept)</t>
  </si>
  <si>
    <t>Internal Adm</t>
  </si>
  <si>
    <t>External Adm</t>
  </si>
  <si>
    <t>Cust Rebts/Services</t>
  </si>
  <si>
    <t>Internal Impl.</t>
  </si>
  <si>
    <t>Evaluation</t>
  </si>
  <si>
    <t>Customer Costs</t>
  </si>
  <si>
    <t>Lifetime MWh Savings</t>
  </si>
  <si>
    <t>Annual MWh Savings</t>
  </si>
  <si>
    <t>Summer kW Savings</t>
  </si>
  <si>
    <t>Number of Customers Served</t>
  </si>
  <si>
    <t>Liberty Utilities</t>
  </si>
  <si>
    <t>NHEC</t>
  </si>
  <si>
    <t>PSNH</t>
  </si>
  <si>
    <t>Unitil</t>
  </si>
  <si>
    <t>Note 1:  Evaluation amounts are based on 5% of total budgets.  Actual program expenses will vary from numbers shown.</t>
  </si>
  <si>
    <t xml:space="preserve">Source: </t>
  </si>
  <si>
    <t>NH - 2011-2012 CORE Joint Eletric Program Proposal - 2010-08-03, pp.91 of 137, Attachment D.</t>
  </si>
  <si>
    <t>National Grid</t>
  </si>
  <si>
    <t>Winter kW Savings</t>
  </si>
  <si>
    <t>Residential Programs</t>
  </si>
  <si>
    <t>NH Home Performance with ENERGY STA</t>
  </si>
  <si>
    <t>ENERGY STAR Lighting *1</t>
  </si>
  <si>
    <t>Subtotal Residential</t>
  </si>
  <si>
    <t>C&amp;I Programs</t>
  </si>
  <si>
    <t>New Construction / Major Renovation</t>
  </si>
  <si>
    <t>Small C&amp;I Retrofit</t>
  </si>
  <si>
    <t>Subtotal C&amp;I</t>
  </si>
  <si>
    <t>Note: 1.National Grid plan estimates number of products rebated.</t>
  </si>
  <si>
    <t>NH - 2011-2012 CORE Joint Eletric Program Proposal - 2010-08-03, pp.101 of 137, Attachment E.</t>
  </si>
  <si>
    <t>Home Performance w/Energy Star</t>
  </si>
  <si>
    <t>Other (Education)</t>
  </si>
  <si>
    <t>‐</t>
  </si>
  <si>
    <t>Note: 1.Plan included 8,966 members purchasing a total of 35,864 lighting products (4 per member)</t>
  </si>
  <si>
    <t>NH - 2011-2012 CORE Joint Eletric Program Proposal - 2010-08-03, pp.111 of 137, Attachment F.</t>
  </si>
  <si>
    <t>Other</t>
  </si>
  <si>
    <t>Commercial/Industrial Programs</t>
  </si>
  <si>
    <t>NH - 2011-2012 CORE Joint Eletric Program Proposal - 2010-08-03, pp.121 of 137, Attachment G.</t>
  </si>
  <si>
    <t>UES</t>
  </si>
  <si>
    <t>Home Performance with Energy Star</t>
  </si>
  <si>
    <t>ENERGY STAR Lighting (1)</t>
  </si>
  <si>
    <t>ENERGY STAR Appliances (2)</t>
  </si>
  <si>
    <t>Home Energy Assistance (3)</t>
  </si>
  <si>
    <t>1.STAR HOME</t>
  </si>
  <si>
    <t>The New Hampshire ENERGY STAR homes program is designed to be a market driving
program, encouraging both builders and homeowners to build a new home with energy
efficiency in mind. The program provides incentives in the form of rebates and services to
help offset the consumer cost of building to a more energy efficient standard.</t>
  </si>
  <si>
    <t>2.Home Performance with Energy Star</t>
  </si>
  <si>
    <t>This program will continue to improve the efficiency of the existing housing stock in NH by
assisting customers with improvements to the energy efficiency of their home. Basic
services include air sealing, insulation, and cost effective appliance and lighting upgrades.
Participating customers can receive up to $4,000 in program services. Co-payments are
required and are determined based on the measures installed. The program also has a strong
educational component designed to help customers better understand their home and the
factors that affect energy use.</t>
  </si>
  <si>
    <t>3. Star Appliances</t>
  </si>
  <si>
    <t xml:space="preserve">This program will increase the use and availability of energy efficient appliances in New
Hampshire.
Contractors will continue to provide services including retailer retention and recruitment,
training, point of purchase promotional materials, and product labeling for the more than 90
participating retailers. Services will also include rebate processing and the development and
placement of cooperative advertising with participating retailers. </t>
  </si>
  <si>
    <t>4. Home Energy Assistance</t>
  </si>
  <si>
    <t>This program is designed to help low income customers manage their energy use and reduce
their energy burden. Basic services include insulation, weatherization, cost effective
appliance and lighting upgrades, and appropriate health and safety measures. Participating
customers can receive up to $5,000 in program services. The program will also have a strong educational component specifically tailored for
income eligible customers and designed to help them better understand their home and the
factors that affect energy use.</t>
  </si>
  <si>
    <t>5. Star Lighting</t>
  </si>
  <si>
    <t>This program will continue to increase the use and availability of energy efficient lighting
products in New Hampshire. The program is open to all residential customers and will (1)
offer rebates for interior and exterior ENERGY STAR labeled bulbs and fixtures, (2)
promote the efficiency and environmental benefits of the latest lighting technologies, and (3)
leverage the ENERGY STAR branding across three programs - Lighting, Homes, and
Appliances.</t>
  </si>
  <si>
    <t>6. New Equipment and Construction</t>
  </si>
  <si>
    <t>This program targets customers with new construction, major renovation, or failed equipment
replacement projects. The program offers prescriptive and custom rebates designed to cover
the lesser of a one year payback or 75% of incremental costs up to the customer’s incentive
cap. The program also offers Technical Assistance including project evaluation, measure
identification, equipment monitoring, and efficiency studies. Technical Assistance and
Commissioning services may require a customer co-payment.</t>
  </si>
  <si>
    <t xml:space="preserve">7. Large C&amp;I Retrofit </t>
  </si>
  <si>
    <t>This program targets customers, 200 kW and larger18, operating aging, inefficient equipment
and systems. The program offers prescriptive and custom rebates designed to cover the
lesser of a one year payback or 35%19 of equipment and installation costs up to the
customer’s incentive cap. Opportunities typically include lighting, motors, HVAC, air
compressors, chillers, variable frequency drives as well as custom measures. The program
also offers Technical Assistance including project evaluation, measure identification,
equipment monitoring, compressed air leak detection, and energy audits. Technical
Assistance services may require a customer co-payment.</t>
  </si>
  <si>
    <t>8. Small Busienss</t>
  </si>
  <si>
    <t>The Small Business Energy Solutions Program is a turnkey solution tailored to the unique
needs of small businesses, a customer base which is very diverse in terms of technical
capabilities and financial resources. This program will provide turnkey energy efficiency
services for customers under 200 kW demand</t>
  </si>
  <si>
    <t>Maine EE Raw Data</t>
  </si>
  <si>
    <t>Efficiency Maine 2012 Annual Report Appendix B p56 Efficiency Maine Program Impacts</t>
  </si>
  <si>
    <t>Efficiency Maine 2012 Annual Report Appendix B p57 Efficiency Maine Program Expenditures</t>
  </si>
  <si>
    <t>Program Expenditures</t>
  </si>
  <si>
    <t>Program</t>
  </si>
  <si>
    <t>Incentive</t>
  </si>
  <si>
    <t>Technical Support</t>
  </si>
  <si>
    <t>Administrative</t>
  </si>
  <si>
    <t>Participant Cost</t>
  </si>
  <si>
    <t>Direct Install Pilot</t>
  </si>
  <si>
    <t xml:space="preserve"> -</t>
  </si>
  <si>
    <t>Program Savings</t>
  </si>
  <si>
    <t>Annual kWh</t>
  </si>
  <si>
    <t>Lifetime kWh</t>
  </si>
  <si>
    <t>Efficiency</t>
  </si>
  <si>
    <t>Lifetime Energy</t>
  </si>
  <si>
    <t>Cost/kWh</t>
  </si>
  <si>
    <t>Benefit To</t>
  </si>
  <si>
    <t xml:space="preserve">Program </t>
  </si>
  <si>
    <t>Costs</t>
  </si>
  <si>
    <t>Benefit</t>
  </si>
  <si>
    <t>(lifetime)</t>
  </si>
  <si>
    <t>Cost Ratio</t>
  </si>
  <si>
    <t>Only SBC and RGGI Funded Programs are included here, ARRA Funded Programs are not related to electricity</t>
  </si>
  <si>
    <t>Program Brief:</t>
  </si>
  <si>
    <t>pp.8 - The Business Incentive Program provides education, technical assistance, quality control and financial incentives for energy upgrades to businesses of all sizes.</t>
  </si>
  <si>
    <t>pp.11 - In FY12, Efficiency Maine’s Large Customer Program provided grants for large-scale kilowatt-hour (kWh) saving projects.</t>
  </si>
  <si>
    <t>pp.22 - Efficiency Maine’s Residential Lighting Program ... collaborating with Energy Star lighting manufacturers and retailers to lower the price of CFLs and other cost-effective, high-efficiency lights and to educate consumers on the benefits of efficient lighting.</t>
  </si>
  <si>
    <t>pp.25 - Efficiency Maine [STAR Appliance] has worked with appliance retailers throughout the state to educate sales staff on the benefits of ENERGY STAR electrical appliances and offer rebates for customer purchases of new, qualified units.</t>
  </si>
  <si>
    <t>pp.30 - The purpose of Efficiency Maine’s Residential Direct Install pilot and incentive is to break down barriers to entry for homeowners to participate in weatherization programs and take first steps toward making their homes more comfortable and energy efficient.</t>
  </si>
  <si>
    <t>Participant costs: the customer (“participant”) cost-share to install energy upgrades.</t>
  </si>
  <si>
    <t>Connecticut CLP EE Raw Data</t>
  </si>
  <si>
    <t>2012 Electic and Natural Gas Conservation and Load Managemnet Plan, Docket No. 11-10-03, September 30, 2011</t>
  </si>
  <si>
    <t>Table C</t>
  </si>
  <si>
    <t>CL&amp;P 2012 C&amp;LM Budget  Details - Increased Savings Model</t>
  </si>
  <si>
    <t>CL&amp;P C&amp;LM BUDGET ($000)</t>
  </si>
  <si>
    <t>CL&amp;P Labor</t>
  </si>
  <si>
    <t>Materials &amp; Supplies</t>
  </si>
  <si>
    <t>Outside Services</t>
  </si>
  <si>
    <t>Contractor Labor</t>
  </si>
  <si>
    <t>Incentives</t>
  </si>
  <si>
    <t>Administrative Expenses</t>
  </si>
  <si>
    <t>kW Impact (Y/E)</t>
  </si>
  <si>
    <t>Residential Retail Products</t>
  </si>
  <si>
    <t>Home Energy Solutions (HV AC, Duct Sealing, Lightin~)</t>
  </si>
  <si>
    <t>Energy Conscious Blueprint</t>
  </si>
  <si>
    <t>Energy Opportunities</t>
  </si>
  <si>
    <t>O&amp;M (Service, RetroCx, BSC)</t>
  </si>
  <si>
    <t>PRIME</t>
  </si>
  <si>
    <t>Total - C&amp;I Large Retrofit</t>
  </si>
  <si>
    <t>Small Business</t>
  </si>
  <si>
    <t>Connecticut UI EE Raw Data</t>
  </si>
  <si>
    <t>2012 Electric and Natural Gas Conservation and Load Managemnet Plan, Docket No. 11-10-03, September 30, 2011</t>
  </si>
  <si>
    <t>THE UNITED ILLUMINATING COMPANY 2012 CONSERVATION &amp; LOAD MANAGEMENT TABLE C</t>
  </si>
  <si>
    <t>UI Labor</t>
  </si>
  <si>
    <r>
      <t>I</t>
    </r>
    <r>
      <rPr>
        <sz val="10"/>
        <color rgb="FF050505"/>
        <rFont val="Times New Roman"/>
        <family val="1"/>
      </rPr>
      <t>n</t>
    </r>
    <r>
      <rPr>
        <sz val="10"/>
        <color rgb="FF343436"/>
        <rFont val="Times New Roman"/>
        <family val="1"/>
      </rPr>
      <t>cen</t>
    </r>
    <r>
      <rPr>
        <sz val="10"/>
        <color rgb="FF364256"/>
        <rFont val="Times New Roman"/>
        <family val="1"/>
      </rPr>
      <t>t</t>
    </r>
    <r>
      <rPr>
        <sz val="10"/>
        <color rgb="FF1F1F21"/>
        <rFont val="Times New Roman"/>
        <family val="1"/>
      </rPr>
      <t>ives</t>
    </r>
  </si>
  <si>
    <r>
      <t>Mark</t>
    </r>
    <r>
      <rPr>
        <sz val="10"/>
        <color rgb="FF4F4D50"/>
        <rFont val="Times New Roman"/>
        <family val="1"/>
      </rPr>
      <t>e</t>
    </r>
    <r>
      <rPr>
        <sz val="10"/>
        <color rgb="FF1F1F21"/>
        <rFont val="Times New Roman"/>
        <family val="1"/>
      </rPr>
      <t>ting</t>
    </r>
  </si>
  <si>
    <t>Other (b)</t>
  </si>
  <si>
    <r>
      <t>A</t>
    </r>
    <r>
      <rPr>
        <sz val="10"/>
        <color rgb="FF050505"/>
        <rFont val="Times New Roman"/>
        <family val="1"/>
      </rPr>
      <t>d</t>
    </r>
    <r>
      <rPr>
        <sz val="10"/>
        <color rgb="FF1F1F21"/>
        <rFont val="Times New Roman"/>
        <family val="1"/>
      </rPr>
      <t>mini</t>
    </r>
    <r>
      <rPr>
        <sz val="10"/>
        <color rgb="FF4F4D50"/>
        <rFont val="Times New Roman"/>
        <family val="1"/>
      </rPr>
      <t>s</t>
    </r>
    <r>
      <rPr>
        <sz val="10"/>
        <color rgb="FF343436"/>
        <rFont val="Times New Roman"/>
        <family val="1"/>
      </rPr>
      <t>trative Expenses</t>
    </r>
  </si>
  <si>
    <r>
      <t>T</t>
    </r>
    <r>
      <rPr>
        <b/>
        <sz val="10"/>
        <color rgb="FF1F1F21"/>
        <rFont val="Times New Roman"/>
        <family val="1"/>
      </rPr>
      <t>OTAL</t>
    </r>
  </si>
  <si>
    <t>Load Savings kW</t>
  </si>
  <si>
    <t xml:space="preserve"> Annualized Savings kWh</t>
  </si>
  <si>
    <t xml:space="preserve"> Lifetime Savings kWh</t>
  </si>
  <si>
    <t>Residential Relail Products</t>
  </si>
  <si>
    <t>Sub-Total Residential</t>
  </si>
  <si>
    <t>Energy Conscious Blueprint (a)</t>
  </si>
  <si>
    <t>O&amp;M Services (RFP,BSC, Training, RetroX, PRIME)</t>
  </si>
  <si>
    <t>Sub-Total C&amp;I</t>
  </si>
  <si>
    <t>(a) Energy Blueprint includes Motors and Cool Choice</t>
  </si>
  <si>
    <t xml:space="preserve">(b) Other expenses include: </t>
  </si>
  <si>
    <t>Performance Management Fee</t>
  </si>
  <si>
    <t>Smart Living Center Lease</t>
  </si>
  <si>
    <t>ECSU</t>
  </si>
  <si>
    <t>Energy Conservation Loan Fund</t>
  </si>
  <si>
    <t>Neighborhood Housing Services</t>
  </si>
  <si>
    <t>C&amp;LM Loan Defaults</t>
  </si>
  <si>
    <t>NEEP Participation</t>
  </si>
  <si>
    <t>Dues</t>
  </si>
  <si>
    <t>Postage</t>
  </si>
  <si>
    <t>Telephone Expense</t>
  </si>
  <si>
    <t>Totals may vary due to rounding</t>
  </si>
  <si>
    <t>Rhode Island EE Raw Data</t>
  </si>
  <si>
    <t>Rhode Island 2012 Energy Efficency Plan Attachment 5 Page 6 of 10</t>
  </si>
  <si>
    <r>
      <t xml:space="preserve">Table E-5
Calculation of 2012 Program Year Cost-Effectiveness
Summary of Benefit, Expenses, Evaluation Costs </t>
    </r>
    <r>
      <rPr>
        <sz val="10"/>
        <color rgb="FFFF0000"/>
        <rFont val="Times New Roman"/>
        <family val="1"/>
      </rPr>
      <t>($000)</t>
    </r>
  </si>
  <si>
    <t>TRC Benefit/Cost</t>
  </si>
  <si>
    <t>Total Benefit</t>
  </si>
  <si>
    <t>Program Implementation Expenses</t>
  </si>
  <si>
    <t>Customer Contribution</t>
  </si>
  <si>
    <t>Evaluation Cost</t>
  </si>
  <si>
    <t>Shareholder Incentive</t>
  </si>
  <si>
    <t>Total Cost</t>
  </si>
  <si>
    <t>Lifetime cents/kWh</t>
  </si>
  <si>
    <t>$        44,317.1</t>
  </si>
  <si>
    <t>$          6,269.0</t>
  </si>
  <si>
    <t>$              558.0</t>
  </si>
  <si>
    <t>$         113.8</t>
  </si>
  <si>
    <t>NA</t>
  </si>
  <si>
    <t>$        44,182.8</t>
  </si>
  <si>
    <t>$        10,640.1</t>
  </si>
  <si>
    <t>$           7,422.9</t>
  </si>
  <si>
    <t>$         385.8</t>
  </si>
  <si>
    <t>$        30,546.6</t>
  </si>
  <si>
    <t>$        11,865.0</t>
  </si>
  <si>
    <t>$           2,310.4</t>
  </si>
  <si>
    <t>$           64.4</t>
  </si>
  <si>
    <t>Low Income Residential</t>
  </si>
  <si>
    <t>$          7,926.1</t>
  </si>
  <si>
    <t>$          5,615.4</t>
  </si>
  <si>
    <t>$             247.1</t>
  </si>
  <si>
    <t>Non-Low Income Residential</t>
  </si>
  <si>
    <t>$          4,142.9</t>
  </si>
  <si>
    <t>$          1,036.0</t>
  </si>
  <si>
    <t>$              378.3</t>
  </si>
  <si>
    <t>$         378.3</t>
  </si>
  <si>
    <t>$          8,009.2</t>
  </si>
  <si>
    <t>$          2,477.0</t>
  </si>
  <si>
    <t>$              669.0</t>
  </si>
  <si>
    <t>$           60.0</t>
  </si>
  <si>
    <t>$        27,552.2</t>
  </si>
  <si>
    <t>$          7,541.5</t>
  </si>
  <si>
    <t>$              923.6</t>
  </si>
  <si>
    <t>$           86.4</t>
  </si>
  <si>
    <t>$        14,198.7</t>
  </si>
  <si>
    <t>$          4,507.4</t>
  </si>
  <si>
    <t>$           71.4</t>
  </si>
  <si>
    <t>$          3,997.1</t>
  </si>
  <si>
    <t>$          2,045.4</t>
  </si>
  <si>
    <t>Note: TRC B/C Test = (Energy + Capacity + Resource Benefits) / (Program Implementation + Evaluation Costs + Customer Contribution + Shareholder Incentive)
Also includes effects of free-ridership and spillover.</t>
  </si>
  <si>
    <t>Table E-6
2012 Program Year Goals
Summary of Benefits, kW, and kWh by Program</t>
  </si>
  <si>
    <t>Loaded Reduction in kW</t>
  </si>
  <si>
    <t>MWh Saved</t>
  </si>
  <si>
    <t>Summer</t>
  </si>
  <si>
    <t>Winter</t>
  </si>
  <si>
    <t>Lifetime</t>
  </si>
  <si>
    <t>Annual</t>
  </si>
  <si>
    <t>Source: RI - 2012 Energy Efficency Plan Attachment 5 Page 7 of 10</t>
  </si>
  <si>
    <t xml:space="preserve">Beginning Year = </t>
  </si>
  <si>
    <t xml:space="preserve">End Year = </t>
  </si>
  <si>
    <t>Historical On Peak LMP</t>
  </si>
  <si>
    <t>On Peak Mass Hub Futures</t>
  </si>
  <si>
    <t>Historical Monthly Avg. Load</t>
  </si>
  <si>
    <t>Weight</t>
  </si>
  <si>
    <t>Forward Adjustment Factor</t>
  </si>
  <si>
    <t>State Programs Summary</t>
  </si>
  <si>
    <t>EE Programs</t>
  </si>
  <si>
    <t>EE Savings</t>
  </si>
  <si>
    <t>2013$/kW-yr</t>
  </si>
  <si>
    <t>2018$/kW-yr</t>
  </si>
  <si>
    <t>Historical Load-Weighted LMP</t>
  </si>
  <si>
    <t>Load Weighted Forward Adjustment</t>
  </si>
  <si>
    <t>Projected 2018/19 Load Weighted LMP</t>
  </si>
  <si>
    <t>2013 Avoided T&amp;D Costs</t>
  </si>
  <si>
    <t>2018/2019 Avoided T&amp;D Costs</t>
  </si>
  <si>
    <t>EE ORTP Calculation</t>
  </si>
  <si>
    <r>
      <t xml:space="preserve">Gas Interconnection - </t>
    </r>
    <r>
      <rPr>
        <i/>
        <sz val="10"/>
        <color theme="1"/>
        <rFont val="Times New Roman"/>
        <family val="1"/>
      </rPr>
      <t>The Brattle Group. Cost of New Entry Estimates for Combustion-Turbine and Combined Cycle Plants in PJM. August 24, 2011.</t>
    </r>
  </si>
  <si>
    <r>
      <t>Electric Interconnection -</t>
    </r>
    <r>
      <rPr>
        <i/>
        <sz val="10"/>
        <color theme="1"/>
        <rFont val="Times New Roman"/>
        <family val="1"/>
      </rPr>
      <t xml:space="preserve"> ISO-NE Project List</t>
    </r>
  </si>
  <si>
    <t>2012$/kW</t>
  </si>
  <si>
    <t>2018$/kW</t>
  </si>
  <si>
    <t>Total Operating Costs</t>
  </si>
  <si>
    <t>Smart Living Center Utilities</t>
  </si>
  <si>
    <t>Software/Communication</t>
  </si>
  <si>
    <t>Large C&amp;I DR Calculations</t>
  </si>
  <si>
    <t>Bottom-Up</t>
  </si>
  <si>
    <t>7% of EPC Costs</t>
  </si>
  <si>
    <t>None</t>
  </si>
  <si>
    <t>1% of EPC Costs + Fuel Inventories</t>
  </si>
  <si>
    <t>4% on 50% of overnight costs (based on bank debt)</t>
  </si>
  <si>
    <t>How Estimated</t>
  </si>
  <si>
    <t>10% of EPC costs</t>
  </si>
  <si>
    <t>MA = 6.25%, ME = 5.00% of Equipment and Materials</t>
  </si>
  <si>
    <t>CT/Wind = 10%, CC = 12% of other EPC costs</t>
  </si>
  <si>
    <t>8% of Owner's Costs</t>
  </si>
  <si>
    <t>Fuel Inventories</t>
  </si>
  <si>
    <t>Construction Labor Cost Indexing</t>
  </si>
  <si>
    <t>Other Labor Cost Indexing</t>
  </si>
  <si>
    <t>PCU22112-22112-</t>
  </si>
  <si>
    <t>PCU2212--2212--</t>
  </si>
  <si>
    <t>Solar Panels</t>
  </si>
  <si>
    <t>Solar_2013$</t>
  </si>
  <si>
    <t>Solar_2018$</t>
  </si>
  <si>
    <t>Tax Credits</t>
  </si>
  <si>
    <t>ITC</t>
  </si>
  <si>
    <t>Eligible Tax Credits</t>
  </si>
  <si>
    <t>ITC (%)</t>
  </si>
  <si>
    <t>Solar PV Modules</t>
  </si>
  <si>
    <t>Turbine Model/PV Module Type</t>
  </si>
  <si>
    <t>Polysilicon PV panels, Fixed Tilt, Ground Mounted</t>
  </si>
  <si>
    <t>Net CONE (Installed)</t>
  </si>
  <si>
    <t>20,000 x 300 W</t>
  </si>
  <si>
    <t>13 kV</t>
  </si>
  <si>
    <t>ENU230055052371</t>
  </si>
  <si>
    <t>ENU250135052371</t>
  </si>
  <si>
    <t>BLS Quarterly Census of Employment and Wages - 2211 Power Generation and Supply Average Annual Pay</t>
  </si>
  <si>
    <t>ENU250135052211</t>
  </si>
  <si>
    <t>ENU230055052211</t>
  </si>
  <si>
    <t>Series ID:</t>
  </si>
  <si>
    <t>wtpipall index</t>
  </si>
  <si>
    <t>http://data.bls.gov/cgi-bin/dsrv?wp</t>
  </si>
  <si>
    <t>http://data.bls.gov/cgi-bin/dsrv?pc</t>
  </si>
  <si>
    <t>http://data.bls.gov/cgi-bin/dsrv</t>
  </si>
  <si>
    <t>WPU1197</t>
  </si>
  <si>
    <t>WPU114</t>
  </si>
  <si>
    <t>FCA Year &gt;&gt;&gt;</t>
  </si>
  <si>
    <t>Power Gen Wage_MA</t>
  </si>
  <si>
    <t>Power Gen Wage_ME</t>
  </si>
  <si>
    <t>Gross Domestic Product: Implicit Price Deflator (GDPDEF), Index 2009=100, Quarterly, Seasonally Adjusted - Choose last four quarters available.</t>
  </si>
  <si>
    <t>http://data.bls.gov/cgi-bin/dsrv?en</t>
  </si>
  <si>
    <t>WPUSOP2200</t>
  </si>
  <si>
    <t>http://research.stlouisfed.org/fred2/graph/?s%5b1%5d%5bid%5d=GDPDEF</t>
  </si>
  <si>
    <t>Dollars Year</t>
  </si>
  <si>
    <t>Data provided by SNL, updated as of Aug 23, 2013 (Aug and Sept 2013 updated as of Jul 2, 2013)</t>
  </si>
  <si>
    <t>Instructions:</t>
  </si>
  <si>
    <t>Be sure to check that the Series ID on this spreadsheet matches with the Series ID of the source of the index.</t>
  </si>
  <si>
    <t>To set FCA10 and FCA11 ORTP values, access the source of the indices through the link provided.</t>
  </si>
  <si>
    <t>Enter all data currently available from the index in the yellow cells.</t>
  </si>
  <si>
    <t>Modify the FCA10 or FCA 11 cell to the right based on the data available for the most recent 12 months for each index.</t>
  </si>
  <si>
    <t>FCA9</t>
  </si>
  <si>
    <t>FCA10</t>
  </si>
  <si>
    <t>FCA11</t>
  </si>
  <si>
    <t>2019/2020</t>
  </si>
  <si>
    <t>2020/2021</t>
  </si>
  <si>
    <t>Net CONE (Qualified)</t>
  </si>
  <si>
    <t>Qualified</t>
  </si>
  <si>
    <t>Final ORTP</t>
  </si>
  <si>
    <t>Draft ORTP</t>
  </si>
  <si>
    <t>Utility Const Wage_MA</t>
  </si>
  <si>
    <t>Utility Const Wage_ME</t>
  </si>
  <si>
    <r>
      <t>denominator</t>
    </r>
    <r>
      <rPr>
        <i/>
        <vertAlign val="superscript"/>
        <sz val="10"/>
        <color theme="1"/>
        <rFont val="Times New Roman"/>
        <family val="1"/>
      </rPr>
      <t>1</t>
    </r>
  </si>
  <si>
    <r>
      <t>Capacity</t>
    </r>
    <r>
      <rPr>
        <b/>
        <vertAlign val="superscript"/>
        <sz val="10"/>
        <color theme="1"/>
        <rFont val="Times New Roman"/>
        <family val="1"/>
      </rPr>
      <t>2</t>
    </r>
  </si>
  <si>
    <r>
      <t>Cost</t>
    </r>
    <r>
      <rPr>
        <b/>
        <vertAlign val="superscript"/>
        <sz val="10"/>
        <color theme="1"/>
        <rFont val="Times New Roman"/>
        <family val="1"/>
      </rPr>
      <t>3</t>
    </r>
  </si>
  <si>
    <r>
      <t xml:space="preserve"> O&amp;M</t>
    </r>
    <r>
      <rPr>
        <b/>
        <vertAlign val="superscript"/>
        <sz val="10"/>
        <color theme="1"/>
        <rFont val="Times New Roman"/>
        <family val="1"/>
      </rPr>
      <t>4</t>
    </r>
  </si>
  <si>
    <r>
      <t>Offsets</t>
    </r>
    <r>
      <rPr>
        <b/>
        <vertAlign val="superscript"/>
        <sz val="10"/>
        <color theme="1"/>
        <rFont val="Times New Roman"/>
        <family val="1"/>
      </rPr>
      <t>5</t>
    </r>
  </si>
  <si>
    <r>
      <t>Solar PV</t>
    </r>
    <r>
      <rPr>
        <vertAlign val="superscript"/>
        <sz val="10"/>
        <rFont val="Times New Roman"/>
        <family val="1"/>
      </rPr>
      <t>6</t>
    </r>
  </si>
  <si>
    <t>Fixed O&amp;M Costs</t>
  </si>
  <si>
    <t>FCA9 Value</t>
  </si>
  <si>
    <t>Plant Characteristics</t>
  </si>
  <si>
    <t>Industry:</t>
  </si>
  <si>
    <t>Area:</t>
  </si>
  <si>
    <t>25013 Hampden County, Massachusetts</t>
  </si>
  <si>
    <t>2371 Utility System Construction</t>
  </si>
  <si>
    <t>Type:</t>
  </si>
  <si>
    <t>5 Average Annual Pay</t>
  </si>
  <si>
    <t>BLS Quarterly Census of Employment and Wages</t>
  </si>
  <si>
    <t>Owner:</t>
  </si>
  <si>
    <t>5 Private</t>
  </si>
  <si>
    <t>Size:</t>
  </si>
  <si>
    <t>0 All Establishment Sizes</t>
  </si>
  <si>
    <t>Auction</t>
  </si>
  <si>
    <t>Insert the most recent Henry Hub data from the next delivery month through the commitment period of the FCA.</t>
  </si>
  <si>
    <t>Insert the most recent Algonquin City Gates data for the next 12 months available.</t>
  </si>
  <si>
    <t>Insert the most recent Mass Hub On-Peak data for the next 12 months available.</t>
  </si>
  <si>
    <t>Capacity Factor of Wind Farms in E&amp;AS Margin Analysis</t>
  </si>
  <si>
    <t>Copy the formula that calculates the Alongquin City-Gates Adder in September 2014 to the rows of the new Algonquin City-Gas futures data.</t>
  </si>
  <si>
    <t>Copy the Implied Market Heat Rate cells that currently contain a value and paste them in the rows with the updated Alongquin City-Gates and Mass Hub On-Peak data.</t>
  </si>
  <si>
    <t>To update the future Mass Hub On-Peak values, modify the cell just below the updated data entered in a previous step by changing the ranges in columns A and H to the timeframe of the updated futures values.</t>
  </si>
  <si>
    <t>Copy the new formula into all of the cells below it in the same column.</t>
  </si>
  <si>
    <t>23005 Cumberland Country, Maine</t>
  </si>
  <si>
    <t>2211 Power Generation and Supply</t>
  </si>
  <si>
    <t>Not Seasonally Adjusted</t>
  </si>
  <si>
    <t>Seasonal:</t>
  </si>
  <si>
    <t>Group:</t>
  </si>
  <si>
    <t>SOP Stage of Processing</t>
  </si>
  <si>
    <t>2200 Materials and Components for Construction</t>
  </si>
  <si>
    <t>Item:</t>
  </si>
  <si>
    <t>BLS Producer Price Index Commodity Data</t>
  </si>
  <si>
    <t>22112- Electric power transmission, control, and distribution</t>
  </si>
  <si>
    <t>Product:</t>
  </si>
  <si>
    <t>2212-- Natural gas distribution</t>
  </si>
  <si>
    <t>BLS Producer Price Index Industry Data</t>
  </si>
  <si>
    <t>11 Machinery and equipment</t>
  </si>
  <si>
    <t>97 Turbines and turbine generator sets</t>
  </si>
  <si>
    <t>4 General purpose machinery and equipment</t>
  </si>
  <si>
    <t>Annual Update Instructions</t>
  </si>
  <si>
    <t>MA Class I REC</t>
  </si>
  <si>
    <t>Step</t>
  </si>
  <si>
    <t>Futures Prices</t>
  </si>
  <si>
    <t>Instructions</t>
  </si>
  <si>
    <t>Sheet</t>
  </si>
  <si>
    <t>Enter capital cost index values.</t>
  </si>
  <si>
    <t>Enter updated gas and electricity futures and adjust formulas for projected values.</t>
  </si>
  <si>
    <t>Enter updated MA Class I REC futures value and year.</t>
  </si>
  <si>
    <t>CONE Calcs</t>
  </si>
  <si>
    <t>Change the FCA Year for the auction of the current ORTP value being calculated.</t>
  </si>
  <si>
    <t>ISO-NE ORTP 2013 Study</t>
  </si>
  <si>
    <r>
      <t>n.a.</t>
    </r>
    <r>
      <rPr>
        <vertAlign val="superscript"/>
        <sz val="10"/>
        <color theme="1"/>
        <rFont val="Times New Roman"/>
        <family val="1"/>
      </rPr>
      <t>7</t>
    </r>
  </si>
  <si>
    <r>
      <t>Starting Price</t>
    </r>
    <r>
      <rPr>
        <b/>
        <vertAlign val="superscript"/>
        <sz val="10"/>
        <color theme="1"/>
        <rFont val="Times New Roman"/>
        <family val="1"/>
      </rPr>
      <t>8</t>
    </r>
  </si>
  <si>
    <t>Note: Installed costs, fixed O&amp;M costs and revenue offsets are calculated based on installed capacities; ORTP values are calculated based on qualified capacities</t>
  </si>
  <si>
    <t>Copy updated values for each generation technology from Row 5 into the applicable row in the Summary Table.</t>
  </si>
  <si>
    <t>S&amp;L (2018$)</t>
  </si>
  <si>
    <t>Shaw (2011$)</t>
  </si>
  <si>
    <t>Shaw (2018$)</t>
  </si>
  <si>
    <t>Difference</t>
  </si>
  <si>
    <t>Owner's Costs (excluding Contingency)</t>
  </si>
  <si>
    <t>Contingency</t>
  </si>
  <si>
    <t>IDC (Installed Costs - Overnight Costs)</t>
  </si>
  <si>
    <t>Equipment, Materials, Tax</t>
  </si>
  <si>
    <t>Labor (Construction and Other)</t>
  </si>
  <si>
    <t>Distributables and Indirects (Contractor Fee)</t>
  </si>
  <si>
    <t>Total Capital Costs</t>
  </si>
  <si>
    <t>E&amp;AS Offset</t>
  </si>
  <si>
    <t>CC (2x1 501 G CCGT)</t>
  </si>
  <si>
    <t>CT (LMS100 CT)</t>
  </si>
  <si>
    <t>EPC (excluding Contingency)</t>
  </si>
  <si>
    <t>2013 Overnight Costs</t>
  </si>
  <si>
    <t>2018 Overnight Costs</t>
  </si>
  <si>
    <t>(2013 $)</t>
  </si>
  <si>
    <t>(2013 $/kW)</t>
  </si>
  <si>
    <t>(2018 $)</t>
  </si>
  <si>
    <t>(2018 $/kW)</t>
  </si>
</sst>
</file>

<file path=xl/styles.xml><?xml version="1.0" encoding="utf-8"?>
<styleSheet xmlns="http://schemas.openxmlformats.org/spreadsheetml/2006/main">
  <numFmts count="3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quot;$&quot;#,##0"/>
    <numFmt numFmtId="167" formatCode="&quot;$&quot;#,##0.0"/>
    <numFmt numFmtId="168" formatCode="&quot;$&quot;#,##0.00"/>
    <numFmt numFmtId="169" formatCode="&quot;$&quot;#,##0\ ;\(&quot;$&quot;#,##0\)"/>
    <numFmt numFmtId="170" formatCode="General_)"/>
    <numFmt numFmtId="171" formatCode="0.000000"/>
    <numFmt numFmtId="172" formatCode="&quot;$&quot;#,##0.000"/>
    <numFmt numFmtId="173" formatCode="0.000%"/>
    <numFmt numFmtId="174" formatCode="&quot;$&quot;#,##0.0_);[Red]\(&quot;$&quot;#,##0.0\)"/>
    <numFmt numFmtId="175" formatCode="#,##0.0"/>
    <numFmt numFmtId="176" formatCode="_(* #,##0_);_(* \(#,##0\);_(* &quot;-&quot;??_);_(@_)"/>
    <numFmt numFmtId="177" formatCode="0.000"/>
    <numFmt numFmtId="178" formatCode="_(* #,##0.0000_);_(* \(#,##0.0000\);_(* &quot;-&quot;??_);_(@_)"/>
    <numFmt numFmtId="179" formatCode="&quot;[&quot;#&quot;]&quot;"/>
    <numFmt numFmtId="180" formatCode="#,##0.00;\(#,##0.00\)"/>
    <numFmt numFmtId="181" formatCode="#,##0.000;\(#,##0.000\)"/>
    <numFmt numFmtId="182" formatCode="_(&quot;$&quot;* #,##0.0_);_(&quot;$&quot;* \(#,##0.0\);_(&quot;$&quot;* &quot;-&quot;?_);_(@_)"/>
    <numFmt numFmtId="183" formatCode="#,##0.000"/>
    <numFmt numFmtId="184" formatCode="_(&quot;$&quot;* #,##0_);_(&quot;$&quot;* \(#,##0\);_(&quot;$&quot;* &quot;-&quot;??_);_(@_)"/>
    <numFmt numFmtId="185" formatCode="_(* #,##0.0_);_(* \(#,##0.0\);_(* &quot;-&quot;??_);_(@_)"/>
    <numFmt numFmtId="186" formatCode="###0.00;###0.00"/>
    <numFmt numFmtId="187" formatCode="###0.0;###0.0"/>
    <numFmt numFmtId="188" formatCode="yyyy\-mm\-dd"/>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10"/>
      <name val="Arial"/>
      <family val="2"/>
    </font>
    <font>
      <sz val="11"/>
      <color indexed="8"/>
      <name val="Arial"/>
      <family val="2"/>
    </font>
    <font>
      <sz val="11"/>
      <color indexed="8"/>
      <name val="Calibri"/>
      <family val="2"/>
    </font>
    <font>
      <sz val="11"/>
      <color indexed="9"/>
      <name val="Arial"/>
      <family val="2"/>
    </font>
    <font>
      <sz val="11"/>
      <color indexed="20"/>
      <name val="Arial"/>
      <family val="2"/>
    </font>
    <font>
      <b/>
      <sz val="10"/>
      <name val="Arial"/>
      <family val="2"/>
    </font>
    <font>
      <b/>
      <sz val="11"/>
      <color indexed="52"/>
      <name val="Arial"/>
      <family val="2"/>
    </font>
    <font>
      <b/>
      <sz val="11"/>
      <color indexed="9"/>
      <name val="Arial"/>
      <family val="2"/>
    </font>
    <font>
      <sz val="10"/>
      <name val="Arial"/>
      <family val="2"/>
    </font>
    <font>
      <i/>
      <sz val="11"/>
      <color indexed="23"/>
      <name val="Arial"/>
      <family val="2"/>
    </font>
    <font>
      <sz val="11"/>
      <color indexed="17"/>
      <name val="Arial"/>
      <family val="2"/>
    </font>
    <font>
      <b/>
      <sz val="18"/>
      <name val="Arial"/>
      <family val="2"/>
    </font>
    <font>
      <b/>
      <sz val="15"/>
      <color indexed="56"/>
      <name val="Arial"/>
      <family val="2"/>
    </font>
    <font>
      <b/>
      <sz val="18"/>
      <name val="Arial"/>
      <family val="2"/>
    </font>
    <font>
      <b/>
      <sz val="13"/>
      <color indexed="56"/>
      <name val="Arial"/>
      <family val="2"/>
    </font>
    <font>
      <b/>
      <sz val="12"/>
      <name val="Arial"/>
      <family val="2"/>
    </font>
    <font>
      <b/>
      <sz val="11"/>
      <color indexed="56"/>
      <name val="Arial"/>
      <family val="2"/>
    </font>
    <font>
      <u/>
      <sz val="10"/>
      <color indexed="12"/>
      <name val="Arial"/>
      <family val="2"/>
    </font>
    <font>
      <u/>
      <sz val="10"/>
      <color indexed="12"/>
      <name val="Arial"/>
      <family val="2"/>
    </font>
    <font>
      <u/>
      <sz val="11"/>
      <color indexed="12"/>
      <name val="Calibri"/>
      <family val="2"/>
    </font>
    <font>
      <sz val="11"/>
      <color indexed="62"/>
      <name val="Arial"/>
      <family val="2"/>
    </font>
    <font>
      <sz val="11"/>
      <color indexed="52"/>
      <name val="Arial"/>
      <family val="2"/>
    </font>
    <font>
      <sz val="11"/>
      <color indexed="60"/>
      <name val="Arial"/>
      <family val="2"/>
    </font>
    <font>
      <sz val="10"/>
      <name val="MS Sans Serif"/>
      <family val="2"/>
    </font>
    <font>
      <sz val="10"/>
      <name val="Gill Sans MT"/>
    </font>
    <font>
      <sz val="10"/>
      <name val="MS Sans Serif"/>
      <family val="2"/>
    </font>
    <font>
      <sz val="10"/>
      <name val="Times New Roman"/>
      <family val="1"/>
    </font>
    <font>
      <b/>
      <sz val="11"/>
      <color indexed="63"/>
      <name val="Arial"/>
      <family val="2"/>
    </font>
    <font>
      <i/>
      <sz val="8"/>
      <name val="Arial"/>
      <family val="2"/>
    </font>
    <font>
      <b/>
      <sz val="11"/>
      <color indexed="43"/>
      <name val="Arial"/>
      <family val="2"/>
    </font>
    <font>
      <sz val="8"/>
      <name val="Arial"/>
      <family val="2"/>
    </font>
    <font>
      <b/>
      <sz val="18"/>
      <color indexed="56"/>
      <name val="Cambria"/>
      <family val="2"/>
    </font>
    <font>
      <b/>
      <sz val="11"/>
      <color indexed="8"/>
      <name val="Arial"/>
      <family val="2"/>
    </font>
    <font>
      <sz val="11"/>
      <color indexed="10"/>
      <name val="Arial"/>
      <family val="2"/>
    </font>
    <font>
      <sz val="8"/>
      <name val="Times New Roman"/>
      <family val="1"/>
    </font>
    <font>
      <b/>
      <sz val="10"/>
      <color indexed="9"/>
      <name val="Times New Roman"/>
      <family val="1"/>
    </font>
    <font>
      <b/>
      <sz val="20"/>
      <color indexed="9"/>
      <name val="Times New Roman"/>
      <family val="1"/>
    </font>
    <font>
      <b/>
      <sz val="12"/>
      <name val="Times New Roman"/>
      <family val="1"/>
    </font>
    <font>
      <b/>
      <sz val="10"/>
      <name val="Times New Roman"/>
      <family val="1"/>
    </font>
    <font>
      <i/>
      <sz val="10"/>
      <color indexed="23"/>
      <name val="Times New Roman"/>
      <family val="1"/>
    </font>
    <font>
      <sz val="10"/>
      <name val="Times New Roman"/>
      <family val="1"/>
    </font>
    <font>
      <sz val="10"/>
      <color indexed="12"/>
      <name val="Times New Roman"/>
      <family val="1"/>
    </font>
    <font>
      <sz val="10"/>
      <color indexed="12"/>
      <name val="Times New Roman"/>
      <family val="1"/>
    </font>
    <font>
      <i/>
      <sz val="10"/>
      <name val="Times New Roman"/>
      <family val="1"/>
    </font>
    <font>
      <i/>
      <sz val="10"/>
      <color indexed="22"/>
      <name val="Times New Roman"/>
      <family val="1"/>
    </font>
    <font>
      <b/>
      <sz val="10"/>
      <color indexed="12"/>
      <name val="Times New Roman"/>
      <family val="1"/>
    </font>
    <font>
      <b/>
      <sz val="16"/>
      <name val="Times New Roman"/>
      <family val="1"/>
    </font>
    <font>
      <i/>
      <sz val="10"/>
      <color indexed="55"/>
      <name val="Times New Roman"/>
      <family val="1"/>
    </font>
    <font>
      <b/>
      <sz val="10"/>
      <color indexed="10"/>
      <name val="Times New Roman"/>
      <family val="1"/>
    </font>
    <font>
      <sz val="10"/>
      <color indexed="17"/>
      <name val="Times New Roman"/>
      <family val="1"/>
    </font>
    <font>
      <sz val="10"/>
      <color indexed="17"/>
      <name val="Times New Roman"/>
      <family val="1"/>
    </font>
    <font>
      <sz val="10"/>
      <color indexed="10"/>
      <name val="Times New Roman"/>
      <family val="1"/>
    </font>
    <font>
      <u/>
      <sz val="10"/>
      <color indexed="12"/>
      <name val="Times New Roman"/>
      <family val="1"/>
    </font>
    <font>
      <sz val="10"/>
      <color indexed="10"/>
      <name val="Times New Roman"/>
      <family val="1"/>
    </font>
    <font>
      <i/>
      <sz val="10"/>
      <color theme="0" tint="-0.34998626667073579"/>
      <name val="Times New Roman"/>
      <family val="1"/>
    </font>
    <font>
      <sz val="10"/>
      <color rgb="FF0000FF"/>
      <name val="Times New Roman"/>
      <family val="1"/>
    </font>
    <font>
      <i/>
      <sz val="10"/>
      <color theme="0" tint="-0.499984740745262"/>
      <name val="Times New Roman"/>
      <family val="1"/>
    </font>
    <font>
      <sz val="10"/>
      <color rgb="FF660066"/>
      <name val="Times New Roman"/>
      <family val="1"/>
    </font>
    <font>
      <sz val="10"/>
      <color rgb="FF008000"/>
      <name val="Times New Roman"/>
      <family val="1"/>
    </font>
    <font>
      <b/>
      <i/>
      <u/>
      <sz val="10"/>
      <name val="Times New Roman"/>
      <family val="1"/>
    </font>
    <font>
      <b/>
      <sz val="10"/>
      <color rgb="FF0000FF"/>
      <name val="Times New Roman"/>
      <family val="1"/>
    </font>
    <font>
      <sz val="11"/>
      <color theme="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Arial"/>
      <family val="2"/>
    </font>
    <font>
      <sz val="11"/>
      <name val="Times New Roman"/>
      <family val="1"/>
    </font>
    <font>
      <sz val="10"/>
      <color indexed="8"/>
      <name val="Arial"/>
      <family val="2"/>
    </font>
    <font>
      <sz val="8"/>
      <name val="Courier 10 CPI"/>
    </font>
    <font>
      <b/>
      <sz val="10"/>
      <color rgb="FF3F3F3F"/>
      <name val="Arial"/>
      <family val="2"/>
    </font>
    <font>
      <sz val="10"/>
      <color rgb="FFFF0000"/>
      <name val="Arial"/>
      <family val="2"/>
    </font>
    <font>
      <b/>
      <sz val="10"/>
      <color rgb="FF008000"/>
      <name val="Times New Roman"/>
      <family val="1"/>
    </font>
    <font>
      <sz val="10"/>
      <name val="Arial"/>
      <family val="2"/>
    </font>
    <font>
      <b/>
      <sz val="10"/>
      <color theme="0"/>
      <name val="Times New Roman"/>
      <family val="1"/>
    </font>
    <font>
      <sz val="10"/>
      <color indexed="8"/>
      <name val="Times New Roman"/>
      <family val="1"/>
    </font>
    <font>
      <sz val="10"/>
      <color rgb="FF006600"/>
      <name val="Times New Roman"/>
      <family val="1"/>
    </font>
    <font>
      <sz val="10"/>
      <color theme="0" tint="-0.14999847407452621"/>
      <name val="Times New Roman"/>
      <family val="1"/>
    </font>
    <font>
      <sz val="10"/>
      <color indexed="9"/>
      <name val="Arial"/>
      <family val="2"/>
    </font>
    <font>
      <sz val="11"/>
      <color indexed="9"/>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10"/>
      <color theme="0"/>
      <name val="Times New Roman"/>
      <family val="1"/>
    </font>
    <font>
      <i/>
      <sz val="9"/>
      <color theme="0" tint="-0.34998626667073579"/>
      <name val="Times New Roman"/>
      <family val="1"/>
    </font>
    <font>
      <b/>
      <sz val="10"/>
      <color indexed="8"/>
      <name val="Times New Roman"/>
      <family val="1"/>
    </font>
    <font>
      <sz val="10"/>
      <color rgb="FF00B050"/>
      <name val="Times New Roman"/>
      <family val="1"/>
    </font>
    <font>
      <sz val="8"/>
      <name val="Times"/>
    </font>
    <font>
      <sz val="8"/>
      <name val="Univers"/>
    </font>
    <font>
      <sz val="10"/>
      <color rgb="FF7030A0"/>
      <name val="Times New Roman"/>
      <family val="1"/>
    </font>
    <font>
      <sz val="10"/>
      <color theme="1"/>
      <name val="Times New Roman"/>
      <family val="1"/>
    </font>
    <font>
      <b/>
      <sz val="10"/>
      <color theme="1"/>
      <name val="Times New Roman"/>
      <family val="1"/>
    </font>
    <font>
      <i/>
      <sz val="10"/>
      <color theme="1"/>
      <name val="Times New Roman"/>
      <family val="1"/>
    </font>
    <font>
      <sz val="10"/>
      <color rgb="FFFF0000"/>
      <name val="Times New Roman"/>
      <family val="1"/>
    </font>
    <font>
      <b/>
      <sz val="10"/>
      <color rgb="FF7030A0"/>
      <name val="Times New Roman"/>
      <family val="1"/>
    </font>
    <font>
      <b/>
      <sz val="14"/>
      <color theme="1"/>
      <name val="Times New Roman"/>
      <family val="1"/>
    </font>
    <font>
      <sz val="14"/>
      <color theme="1"/>
      <name val="Times New Roman"/>
      <family val="1"/>
    </font>
    <font>
      <sz val="10"/>
      <name val="Arial"/>
      <family val="2"/>
    </font>
    <font>
      <sz val="10"/>
      <color theme="0" tint="-0.34998626667073579"/>
      <name val="Times New Roman"/>
      <family val="1"/>
    </font>
    <font>
      <b/>
      <sz val="10"/>
      <color rgb="FFFF0000"/>
      <name val="Times New Roman"/>
      <family val="1"/>
    </font>
    <font>
      <i/>
      <sz val="10"/>
      <color rgb="FF0000FF"/>
      <name val="Times New Roman"/>
      <family val="1"/>
    </font>
    <font>
      <b/>
      <i/>
      <sz val="10"/>
      <color theme="1"/>
      <name val="Times New Roman"/>
      <family val="1"/>
    </font>
    <font>
      <b/>
      <sz val="8"/>
      <color indexed="81"/>
      <name val="Tahoma"/>
      <family val="2"/>
    </font>
    <font>
      <sz val="8"/>
      <color indexed="81"/>
      <name val="Tahoma"/>
      <family val="2"/>
    </font>
    <font>
      <u/>
      <sz val="11"/>
      <color theme="10"/>
      <name val="Calibri"/>
      <family val="2"/>
      <scheme val="minor"/>
    </font>
    <font>
      <u/>
      <sz val="10"/>
      <color theme="10"/>
      <name val="Times New Roman"/>
      <family val="1"/>
    </font>
    <font>
      <b/>
      <sz val="10"/>
      <color rgb="FF00B050"/>
      <name val="Times New Roman"/>
      <family val="1"/>
    </font>
    <font>
      <b/>
      <sz val="12"/>
      <color theme="1"/>
      <name val="Times New Roman"/>
      <family val="1"/>
    </font>
    <font>
      <b/>
      <sz val="14"/>
      <name val="Arial"/>
      <family val="2"/>
    </font>
    <font>
      <b/>
      <sz val="9"/>
      <color indexed="8"/>
      <name val="Tahoma"/>
      <family val="2"/>
    </font>
    <font>
      <b/>
      <sz val="10"/>
      <color indexed="23"/>
      <name val="Lucida Console"/>
      <family val="3"/>
    </font>
    <font>
      <b/>
      <i/>
      <sz val="10"/>
      <color indexed="10"/>
      <name val="Arial"/>
      <family val="2"/>
    </font>
    <font>
      <b/>
      <i/>
      <sz val="10"/>
      <color indexed="63"/>
      <name val="Arial"/>
      <family val="2"/>
    </font>
    <font>
      <sz val="10"/>
      <color rgb="FF0070C0"/>
      <name val="Times New Roman"/>
      <family val="1"/>
    </font>
    <font>
      <b/>
      <sz val="10"/>
      <color rgb="FF0070C0"/>
      <name val="Times New Roman"/>
      <family val="1"/>
    </font>
    <font>
      <b/>
      <u/>
      <sz val="10"/>
      <name val="Times New Roman"/>
      <family val="1"/>
    </font>
    <font>
      <i/>
      <sz val="10"/>
      <color indexed="8"/>
      <name val="Times New Roman"/>
      <family val="1"/>
    </font>
    <font>
      <u/>
      <sz val="10"/>
      <color theme="1"/>
      <name val="Times New Roman"/>
      <family val="1"/>
    </font>
    <font>
      <b/>
      <u/>
      <sz val="10"/>
      <color theme="1"/>
      <name val="Times New Roman"/>
      <family val="1"/>
    </font>
    <font>
      <b/>
      <sz val="10"/>
      <color rgb="FF000000"/>
      <name val="Times New Roman"/>
      <family val="1"/>
    </font>
    <font>
      <sz val="10"/>
      <color rgb="FF000000"/>
      <name val="Times New Roman"/>
      <family val="1"/>
    </font>
    <font>
      <sz val="10"/>
      <color rgb="FF1F1F21"/>
      <name val="Times New Roman"/>
      <family val="1"/>
    </font>
    <font>
      <sz val="10"/>
      <color rgb="FF343436"/>
      <name val="Times New Roman"/>
      <family val="1"/>
    </font>
    <font>
      <sz val="10"/>
      <color rgb="FF050505"/>
      <name val="Times New Roman"/>
      <family val="1"/>
    </font>
    <font>
      <sz val="10"/>
      <color rgb="FF364256"/>
      <name val="Times New Roman"/>
      <family val="1"/>
    </font>
    <font>
      <sz val="10"/>
      <color rgb="FF4F4D50"/>
      <name val="Times New Roman"/>
      <family val="1"/>
    </font>
    <font>
      <b/>
      <sz val="10"/>
      <color rgb="FF050505"/>
      <name val="Times New Roman"/>
      <family val="1"/>
    </font>
    <font>
      <b/>
      <sz val="10"/>
      <color rgb="FF1F1F21"/>
      <name val="Times New Roman"/>
      <family val="1"/>
    </font>
    <font>
      <i/>
      <sz val="10"/>
      <color rgb="FF7030A0"/>
      <name val="Times New Roman"/>
      <family val="1"/>
    </font>
    <font>
      <i/>
      <sz val="10"/>
      <color theme="0"/>
      <name val="Times New Roman"/>
      <family val="1"/>
    </font>
    <font>
      <i/>
      <vertAlign val="superscript"/>
      <sz val="10"/>
      <color theme="1"/>
      <name val="Times New Roman"/>
      <family val="1"/>
    </font>
    <font>
      <b/>
      <vertAlign val="superscript"/>
      <sz val="10"/>
      <color theme="1"/>
      <name val="Times New Roman"/>
      <family val="1"/>
    </font>
    <font>
      <vertAlign val="superscript"/>
      <sz val="10"/>
      <name val="Times New Roman"/>
      <family val="1"/>
    </font>
    <font>
      <sz val="10"/>
      <color theme="1" tint="0.249977111117893"/>
      <name val="Times New Roman"/>
      <family val="1"/>
    </font>
    <font>
      <vertAlign val="superscript"/>
      <sz val="10"/>
      <color theme="1"/>
      <name val="Times New Roman"/>
      <family val="1"/>
    </font>
  </fonts>
  <fills count="113">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5"/>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mediumGray">
        <fgColor indexed="55"/>
        <bgColor indexed="54"/>
      </patternFill>
    </fill>
    <fill>
      <patternFill patternType="solid">
        <fgColor indexed="56"/>
        <bgColor indexed="64"/>
      </patternFill>
    </fill>
    <fill>
      <patternFill patternType="solid">
        <fgColor indexed="22"/>
        <bgColor indexed="64"/>
      </patternFill>
    </fill>
    <fill>
      <patternFill patternType="solid">
        <fgColor indexed="15"/>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0066"/>
        <bgColor indexed="64"/>
      </patternFill>
    </fill>
    <fill>
      <patternFill patternType="solid">
        <fgColor indexed="40"/>
      </patternFill>
    </fill>
    <fill>
      <patternFill patternType="solid">
        <fgColor indexed="5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bgColor indexed="64"/>
      </patternFill>
    </fill>
    <fill>
      <patternFill patternType="solid">
        <fgColor theme="4" tint="0.79995117038483843"/>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7" tint="0.79995117038483843"/>
        <bgColor indexed="65"/>
      </patternFill>
    </fill>
    <fill>
      <patternFill patternType="solid">
        <fgColor theme="8" tint="0.79995117038483843"/>
        <bgColor indexed="65"/>
      </patternFill>
    </fill>
    <fill>
      <patternFill patternType="solid">
        <fgColor theme="9" tint="0.79995117038483843"/>
        <bgColor indexed="65"/>
      </patternFill>
    </fill>
    <fill>
      <patternFill patternType="solid">
        <fgColor theme="4" tint="0.59996337778862885"/>
        <bgColor indexed="65"/>
      </patternFill>
    </fill>
    <fill>
      <patternFill patternType="solid">
        <fgColor theme="5" tint="0.59996337778862885"/>
        <bgColor indexed="65"/>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
      <patternFill patternType="solid">
        <fgColor indexed="57"/>
        <bgColor indexed="64"/>
      </patternFill>
    </fill>
    <fill>
      <patternFill patternType="solid">
        <fgColor indexed="9"/>
        <bgColor indexed="64"/>
      </patternFill>
    </fill>
    <fill>
      <patternFill patternType="solid">
        <fgColor rgb="FFFFFFFF"/>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0"/>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1"/>
      </left>
      <right/>
      <top/>
      <bottom/>
      <diagonal/>
    </border>
    <border>
      <left style="medium">
        <color indexed="60"/>
      </left>
      <right/>
      <top/>
      <bottom/>
      <diagonal/>
    </border>
    <border>
      <left style="medium">
        <color indexed="59"/>
      </left>
      <right/>
      <top/>
      <bottom/>
      <diagonal/>
    </border>
    <border>
      <left style="medium">
        <color indexed="61"/>
      </left>
      <right style="medium">
        <color indexed="61"/>
      </right>
      <top style="medium">
        <color indexed="61"/>
      </top>
      <bottom style="medium">
        <color indexed="61"/>
      </bottom>
      <diagonal/>
    </border>
    <border>
      <left style="medium">
        <color indexed="60"/>
      </left>
      <right style="medium">
        <color indexed="60"/>
      </right>
      <top style="medium">
        <color indexed="60"/>
      </top>
      <bottom style="medium">
        <color indexed="60"/>
      </bottom>
      <diagonal/>
    </border>
    <border>
      <left style="medium">
        <color indexed="59"/>
      </left>
      <right style="medium">
        <color indexed="59"/>
      </right>
      <top style="medium">
        <color indexed="59"/>
      </top>
      <bottom style="medium">
        <color indexed="59"/>
      </bottom>
      <diagonal/>
    </border>
    <border>
      <left/>
      <right/>
      <top/>
      <bottom style="medium">
        <color indexed="8"/>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7886">
    <xf numFmtId="0" fontId="0" fillId="0" borderId="0"/>
    <xf numFmtId="0" fontId="8" fillId="0" borderId="0"/>
    <xf numFmtId="171" fontId="8" fillId="0" borderId="0">
      <alignment horizontal="left" wrapText="1"/>
    </xf>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9" fillId="4" borderId="0" applyNumberFormat="0" applyBorder="0" applyAlignment="0" applyProtection="0"/>
    <xf numFmtId="0" fontId="10" fillId="3" borderId="0" applyNumberFormat="0" applyBorder="0" applyAlignment="0" applyProtection="0"/>
    <xf numFmtId="0" fontId="9" fillId="5" borderId="0" applyNumberFormat="0" applyBorder="0" applyAlignment="0" applyProtection="0"/>
    <xf numFmtId="0" fontId="10" fillId="3" borderId="0" applyNumberFormat="0" applyBorder="0" applyAlignment="0" applyProtection="0"/>
    <xf numFmtId="0" fontId="9" fillId="6" borderId="0" applyNumberFormat="0" applyBorder="0" applyAlignment="0" applyProtection="0"/>
    <xf numFmtId="0" fontId="10" fillId="3"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9" fillId="9" borderId="0" applyNumberFormat="0" applyBorder="0" applyAlignment="0" applyProtection="0"/>
    <xf numFmtId="0" fontId="10" fillId="8" borderId="0" applyNumberFormat="0" applyBorder="0" applyAlignment="0" applyProtection="0"/>
    <xf numFmtId="0" fontId="9" fillId="10" borderId="0" applyNumberFormat="0" applyBorder="0" applyAlignment="0" applyProtection="0"/>
    <xf numFmtId="0" fontId="10" fillId="3" borderId="0" applyNumberFormat="0" applyBorder="0" applyAlignment="0" applyProtection="0"/>
    <xf numFmtId="0" fontId="9" fillId="11" borderId="0" applyNumberFormat="0" applyBorder="0" applyAlignment="0" applyProtection="0"/>
    <xf numFmtId="0" fontId="10" fillId="3" borderId="0" applyNumberFormat="0" applyBorder="0" applyAlignment="0" applyProtection="0"/>
    <xf numFmtId="0" fontId="9" fillId="12" borderId="0" applyNumberFormat="0" applyBorder="0" applyAlignment="0" applyProtection="0"/>
    <xf numFmtId="0" fontId="10" fillId="8" borderId="0" applyNumberFormat="0" applyBorder="0" applyAlignment="0" applyProtection="0"/>
    <xf numFmtId="0" fontId="9" fillId="6" borderId="0" applyNumberFormat="0" applyBorder="0" applyAlignment="0" applyProtection="0"/>
    <xf numFmtId="0" fontId="10" fillId="8" borderId="0" applyNumberFormat="0" applyBorder="0" applyAlignment="0" applyProtection="0"/>
    <xf numFmtId="0" fontId="9" fillId="10"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10" fillId="8"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2" fillId="4" borderId="0" applyNumberFormat="0" applyBorder="0" applyAlignment="0" applyProtection="0"/>
    <xf numFmtId="0" fontId="13" fillId="0" borderId="0" applyNumberFormat="0" applyFont="0" applyAlignment="0"/>
    <xf numFmtId="0" fontId="14" fillId="8" borderId="1" applyNumberFormat="0" applyAlignment="0" applyProtection="0"/>
    <xf numFmtId="0" fontId="15" fillId="13" borderId="2"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8" fillId="0" borderId="0" applyFont="0" applyFill="0" applyBorder="0" applyAlignment="0" applyProtection="0"/>
    <xf numFmtId="44" fontId="16" fillId="0" borderId="0" applyFont="0" applyFill="0" applyBorder="0" applyAlignment="0" applyProtection="0"/>
    <xf numFmtId="169" fontId="8" fillId="0" borderId="0" applyFont="0" applyFill="0" applyBorder="0" applyAlignment="0" applyProtection="0"/>
    <xf numFmtId="0" fontId="8" fillId="0" borderId="0" applyFont="0" applyFill="0" applyBorder="0" applyAlignment="0" applyProtection="0"/>
    <xf numFmtId="0" fontId="17" fillId="0" borderId="0" applyNumberFormat="0" applyFill="0" applyBorder="0" applyAlignment="0" applyProtection="0"/>
    <xf numFmtId="2" fontId="8" fillId="0" borderId="0" applyFont="0" applyFill="0" applyBorder="0" applyAlignment="0" applyProtection="0"/>
    <xf numFmtId="0" fontId="18" fillId="5" borderId="0" applyNumberFormat="0" applyBorder="0" applyAlignment="0" applyProtection="0"/>
    <xf numFmtId="170" fontId="19" fillId="0" borderId="0"/>
    <xf numFmtId="0" fontId="20" fillId="0" borderId="3" applyNumberFormat="0" applyFill="0" applyAlignment="0" applyProtection="0"/>
    <xf numFmtId="0" fontId="21" fillId="0" borderId="0" applyNumberFormat="0" applyFont="0" applyFill="0" applyAlignment="0" applyProtection="0"/>
    <xf numFmtId="0" fontId="21" fillId="0" borderId="0" applyNumberFormat="0" applyFont="0" applyFill="0" applyAlignment="0" applyProtection="0"/>
    <xf numFmtId="0" fontId="21" fillId="0" borderId="0" applyNumberFormat="0" applyFont="0" applyFill="0" applyAlignment="0" applyProtection="0"/>
    <xf numFmtId="0" fontId="21" fillId="0" borderId="0" applyNumberFormat="0" applyFont="0" applyFill="0" applyAlignment="0" applyProtection="0"/>
    <xf numFmtId="0" fontId="21" fillId="0" borderId="0" applyNumberFormat="0" applyFont="0" applyFill="0" applyAlignment="0" applyProtection="0"/>
    <xf numFmtId="0" fontId="21" fillId="0" borderId="0" applyNumberFormat="0" applyFont="0" applyFill="0" applyAlignment="0" applyProtection="0"/>
    <xf numFmtId="0" fontId="21" fillId="0" borderId="0" applyNumberFormat="0" applyFont="0" applyFill="0" applyAlignment="0" applyProtection="0"/>
    <xf numFmtId="0" fontId="21" fillId="0" borderId="0" applyNumberFormat="0" applyFont="0" applyFill="0" applyAlignment="0" applyProtection="0"/>
    <xf numFmtId="0" fontId="21" fillId="0" borderId="0" applyNumberFormat="0" applyFont="0" applyFill="0" applyAlignment="0" applyProtection="0"/>
    <xf numFmtId="0" fontId="21" fillId="0" borderId="0" applyNumberFormat="0" applyFont="0" applyFill="0" applyAlignment="0" applyProtection="0"/>
    <xf numFmtId="0" fontId="21" fillId="0" borderId="0" applyNumberFormat="0" applyFont="0" applyFill="0" applyAlignment="0" applyProtection="0"/>
    <xf numFmtId="0" fontId="21" fillId="0" borderId="0" applyNumberFormat="0" applyFont="0" applyFill="0" applyAlignment="0" applyProtection="0"/>
    <xf numFmtId="0" fontId="21" fillId="0" borderId="0" applyNumberFormat="0" applyFont="0" applyFill="0" applyAlignment="0" applyProtection="0"/>
    <xf numFmtId="0" fontId="22" fillId="0" borderId="4" applyNumberFormat="0" applyFill="0" applyAlignment="0" applyProtection="0"/>
    <xf numFmtId="0" fontId="23" fillId="0" borderId="0" applyNumberFormat="0" applyFont="0" applyFill="0" applyAlignment="0" applyProtection="0"/>
    <xf numFmtId="0" fontId="23" fillId="0" borderId="0" applyNumberFormat="0" applyFont="0" applyFill="0" applyAlignment="0" applyProtection="0"/>
    <xf numFmtId="0" fontId="23" fillId="0" borderId="0" applyNumberFormat="0" applyFont="0" applyFill="0" applyAlignment="0" applyProtection="0"/>
    <xf numFmtId="0" fontId="23" fillId="0" borderId="0" applyNumberFormat="0" applyFont="0" applyFill="0" applyAlignment="0" applyProtection="0"/>
    <xf numFmtId="0" fontId="23" fillId="0" borderId="0" applyNumberFormat="0" applyFont="0" applyFill="0" applyAlignment="0" applyProtection="0"/>
    <xf numFmtId="0" fontId="23" fillId="0" borderId="0" applyNumberFormat="0" applyFont="0" applyFill="0" applyAlignment="0" applyProtection="0"/>
    <xf numFmtId="0" fontId="23" fillId="0" borderId="0" applyNumberFormat="0" applyFont="0" applyFill="0" applyAlignment="0" applyProtection="0"/>
    <xf numFmtId="0" fontId="23" fillId="0" borderId="0" applyNumberFormat="0" applyFont="0" applyFill="0" applyAlignment="0" applyProtection="0"/>
    <xf numFmtId="0" fontId="23" fillId="0" borderId="0" applyNumberFormat="0" applyFont="0" applyFill="0" applyAlignment="0" applyProtection="0"/>
    <xf numFmtId="0" fontId="23" fillId="0" borderId="0" applyNumberFormat="0" applyFont="0" applyFill="0" applyAlignment="0" applyProtection="0"/>
    <xf numFmtId="0" fontId="23" fillId="0" borderId="0" applyNumberFormat="0" applyFont="0" applyFill="0" applyAlignment="0" applyProtection="0"/>
    <xf numFmtId="0" fontId="23" fillId="0" borderId="0" applyNumberFormat="0" applyFont="0" applyFill="0" applyAlignment="0" applyProtection="0"/>
    <xf numFmtId="0" fontId="23" fillId="0" borderId="0" applyNumberFormat="0" applyFon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9" borderId="1" applyNumberFormat="0" applyAlignment="0" applyProtection="0"/>
    <xf numFmtId="0" fontId="29" fillId="0" borderId="6" applyNumberFormat="0" applyFill="0" applyAlignment="0" applyProtection="0"/>
    <xf numFmtId="0" fontId="30" fillId="23" borderId="0" applyNumberFormat="0" applyBorder="0" applyAlignment="0" applyProtection="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1" fillId="0" borderId="0"/>
    <xf numFmtId="0" fontId="10" fillId="0" borderId="0"/>
    <xf numFmtId="0" fontId="10" fillId="0" borderId="0"/>
    <xf numFmtId="0" fontId="31" fillId="0" borderId="0"/>
    <xf numFmtId="0" fontId="10" fillId="0" borderId="0"/>
    <xf numFmtId="0" fontId="10" fillId="0" borderId="0"/>
    <xf numFmtId="0" fontId="31" fillId="0" borderId="0"/>
    <xf numFmtId="0" fontId="10" fillId="0" borderId="0"/>
    <xf numFmtId="0" fontId="10" fillId="0" borderId="0"/>
    <xf numFmtId="0" fontId="31" fillId="0" borderId="0"/>
    <xf numFmtId="0" fontId="31"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1" fillId="0" borderId="0"/>
    <xf numFmtId="0" fontId="33" fillId="0" borderId="0"/>
    <xf numFmtId="0" fontId="16" fillId="0" borderId="0"/>
    <xf numFmtId="0" fontId="34" fillId="0" borderId="0"/>
    <xf numFmtId="0" fontId="8" fillId="0" borderId="0"/>
    <xf numFmtId="0" fontId="8" fillId="24" borderId="7" applyNumberFormat="0" applyFont="0" applyAlignment="0" applyProtection="0"/>
    <xf numFmtId="0" fontId="10" fillId="24" borderId="7" applyNumberFormat="0" applyFont="0" applyAlignment="0" applyProtection="0"/>
    <xf numFmtId="0" fontId="10" fillId="24" borderId="7" applyNumberFormat="0" applyFont="0" applyAlignment="0" applyProtection="0"/>
    <xf numFmtId="3" fontId="16" fillId="0" borderId="0"/>
    <xf numFmtId="3" fontId="16" fillId="0" borderId="0"/>
    <xf numFmtId="3" fontId="16" fillId="0" borderId="0"/>
    <xf numFmtId="3" fontId="16" fillId="0" borderId="0"/>
    <xf numFmtId="3" fontId="16" fillId="0" borderId="0"/>
    <xf numFmtId="0" fontId="35" fillId="8" borderId="8" applyNumberFormat="0" applyAlignment="0" applyProtection="0"/>
    <xf numFmtId="0" fontId="16" fillId="0" borderId="0">
      <alignment horizontal="left" wrapText="1"/>
    </xf>
    <xf numFmtId="165" fontId="36" fillId="0" borderId="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71" fontId="16" fillId="0" borderId="0">
      <alignment horizontal="left" wrapText="1"/>
    </xf>
    <xf numFmtId="0" fontId="37" fillId="25" borderId="0" applyNumberFormat="0">
      <alignment vertical="center"/>
    </xf>
    <xf numFmtId="2" fontId="38" fillId="0" borderId="0"/>
    <xf numFmtId="0" fontId="39" fillId="0" borderId="0" applyNumberFormat="0" applyFill="0" applyBorder="0" applyAlignment="0" applyProtection="0"/>
    <xf numFmtId="0" fontId="40" fillId="0" borderId="9" applyNumberFormat="0" applyFill="0" applyAlignment="0" applyProtection="0"/>
    <xf numFmtId="0" fontId="16" fillId="0" borderId="10" applyNumberFormat="0" applyFont="0" applyBorder="0" applyAlignment="0" applyProtection="0"/>
    <xf numFmtId="0" fontId="16" fillId="0" borderId="10" applyNumberFormat="0" applyFont="0" applyBorder="0" applyAlignment="0" applyProtection="0"/>
    <xf numFmtId="0" fontId="16" fillId="0" borderId="10" applyNumberFormat="0" applyFont="0" applyBorder="0" applyAlignment="0" applyProtection="0"/>
    <xf numFmtId="0" fontId="16" fillId="0" borderId="10" applyNumberFormat="0" applyFont="0" applyBorder="0" applyAlignment="0" applyProtection="0"/>
    <xf numFmtId="0" fontId="16" fillId="0" borderId="10" applyNumberFormat="0" applyFont="0" applyBorder="0" applyAlignment="0" applyProtection="0"/>
    <xf numFmtId="0" fontId="16" fillId="0" borderId="10" applyNumberFormat="0" applyFont="0" applyBorder="0" applyAlignment="0" applyProtection="0"/>
    <xf numFmtId="0" fontId="16" fillId="0" borderId="10" applyNumberFormat="0" applyFont="0" applyBorder="0" applyAlignment="0" applyProtection="0"/>
    <xf numFmtId="0" fontId="16" fillId="0" borderId="10" applyNumberFormat="0" applyFont="0" applyBorder="0" applyAlignment="0" applyProtection="0"/>
    <xf numFmtId="0" fontId="16" fillId="0" borderId="10" applyNumberFormat="0" applyFont="0" applyBorder="0" applyAlignment="0" applyProtection="0"/>
    <xf numFmtId="0" fontId="16" fillId="0" borderId="10" applyNumberFormat="0" applyFont="0" applyBorder="0" applyAlignment="0" applyProtection="0"/>
    <xf numFmtId="0" fontId="16" fillId="0" borderId="10" applyNumberFormat="0" applyFont="0" applyBorder="0" applyAlignment="0" applyProtection="0"/>
    <xf numFmtId="0" fontId="16" fillId="0" borderId="10" applyNumberFormat="0" applyFont="0" applyBorder="0" applyAlignment="0" applyProtection="0"/>
    <xf numFmtId="0" fontId="16" fillId="0" borderId="10" applyNumberFormat="0" applyFont="0" applyBorder="0" applyAlignment="0" applyProtection="0"/>
    <xf numFmtId="0" fontId="41" fillId="0" borderId="0" applyNumberFormat="0" applyFill="0" applyBorder="0" applyAlignment="0" applyProtection="0"/>
    <xf numFmtId="0" fontId="8" fillId="0" borderId="0"/>
    <xf numFmtId="0" fontId="69" fillId="0" borderId="0"/>
    <xf numFmtId="43" fontId="69" fillId="0" borderId="0" applyFont="0" applyFill="0" applyBorder="0" applyAlignment="0" applyProtection="0"/>
    <xf numFmtId="9" fontId="69" fillId="0" borderId="0" applyFont="0" applyFill="0" applyBorder="0" applyAlignment="0" applyProtection="0"/>
    <xf numFmtId="44" fontId="69" fillId="0" borderId="0" applyFont="0" applyFill="0" applyBorder="0" applyAlignment="0" applyProtection="0"/>
    <xf numFmtId="0" fontId="69" fillId="0" borderId="0"/>
    <xf numFmtId="44" fontId="8" fillId="0" borderId="0" applyFont="0" applyFill="0" applyBorder="0" applyAlignment="0" applyProtection="0"/>
    <xf numFmtId="9" fontId="8" fillId="0" borderId="0" applyFont="0" applyFill="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2" fillId="43" borderId="0" applyNumberFormat="0" applyBorder="0" applyAlignment="0" applyProtection="0"/>
    <xf numFmtId="0" fontId="73" fillId="44" borderId="15" applyNumberFormat="0" applyAlignment="0" applyProtection="0"/>
    <xf numFmtId="0" fontId="74" fillId="45" borderId="16" applyNumberFormat="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8"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8"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8"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0" fillId="0" borderId="0" applyFont="0" applyFill="0" applyBorder="0" applyAlignment="0" applyProtection="0"/>
    <xf numFmtId="0" fontId="75" fillId="0" borderId="0" applyNumberFormat="0" applyFill="0" applyBorder="0" applyAlignment="0" applyProtection="0"/>
    <xf numFmtId="0" fontId="76" fillId="46" borderId="0" applyNumberFormat="0" applyBorder="0" applyAlignment="0" applyProtection="0"/>
    <xf numFmtId="0" fontId="77" fillId="0" borderId="17" applyNumberFormat="0" applyFill="0" applyAlignment="0" applyProtection="0"/>
    <xf numFmtId="0" fontId="77" fillId="0" borderId="0" applyNumberFormat="0" applyFill="0" applyBorder="0" applyAlignment="0" applyProtection="0"/>
    <xf numFmtId="0" fontId="78" fillId="47" borderId="15" applyNumberFormat="0" applyAlignment="0" applyProtection="0"/>
    <xf numFmtId="0" fontId="79" fillId="0" borderId="18" applyNumberFormat="0" applyFill="0" applyAlignment="0" applyProtection="0"/>
    <xf numFmtId="0" fontId="80" fillId="48" borderId="0" applyNumberFormat="0" applyBorder="0" applyAlignment="0" applyProtection="0"/>
    <xf numFmtId="0" fontId="8" fillId="0" borderId="0"/>
    <xf numFmtId="0" fontId="81" fillId="0" borderId="0"/>
    <xf numFmtId="0" fontId="8" fillId="0" borderId="0"/>
    <xf numFmtId="0" fontId="81" fillId="0" borderId="0"/>
    <xf numFmtId="0" fontId="8" fillId="0" borderId="0"/>
    <xf numFmtId="0" fontId="81" fillId="0" borderId="0"/>
    <xf numFmtId="0" fontId="82" fillId="0" borderId="0"/>
    <xf numFmtId="0" fontId="81" fillId="0" borderId="0"/>
    <xf numFmtId="0" fontId="69" fillId="0" borderId="0"/>
    <xf numFmtId="0" fontId="8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7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8" fillId="0" borderId="0"/>
    <xf numFmtId="0" fontId="81" fillId="0" borderId="0"/>
    <xf numFmtId="0" fontId="83" fillId="49" borderId="19" applyNumberFormat="0" applyFont="0" applyAlignment="0" applyProtection="0"/>
    <xf numFmtId="0" fontId="83" fillId="49" borderId="19" applyNumberFormat="0" applyFont="0" applyAlignment="0" applyProtection="0"/>
    <xf numFmtId="0" fontId="83" fillId="49" borderId="19" applyNumberFormat="0" applyFont="0" applyAlignment="0" applyProtection="0"/>
    <xf numFmtId="0" fontId="83" fillId="49" borderId="19" applyNumberFormat="0" applyFont="0" applyAlignment="0" applyProtection="0"/>
    <xf numFmtId="0" fontId="83" fillId="49" borderId="19" applyNumberFormat="0" applyFont="0" applyAlignment="0" applyProtection="0"/>
    <xf numFmtId="0" fontId="83" fillId="49" borderId="19" applyNumberFormat="0" applyFont="0" applyAlignment="0" applyProtection="0"/>
    <xf numFmtId="0" fontId="83" fillId="49" borderId="19" applyNumberFormat="0" applyFont="0" applyAlignment="0" applyProtection="0"/>
    <xf numFmtId="0" fontId="83" fillId="49" borderId="19" applyNumberFormat="0" applyFont="0" applyAlignment="0" applyProtection="0"/>
    <xf numFmtId="0" fontId="84" fillId="0" borderId="0" applyFill="0" applyBorder="0"/>
    <xf numFmtId="0" fontId="85" fillId="44" borderId="20" applyNumberFormat="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86" fillId="0" borderId="0" applyNumberFormat="0" applyFill="0" applyBorder="0" applyAlignment="0" applyProtection="0"/>
    <xf numFmtId="0" fontId="8" fillId="24" borderId="0" applyNumberFormat="0" applyFont="0" applyBorder="0" applyAlignment="0" applyProtection="0"/>
    <xf numFmtId="43" fontId="88" fillId="0" borderId="0" applyFont="0" applyFill="0" applyBorder="0" applyAlignment="0" applyProtection="0"/>
    <xf numFmtId="0" fontId="69" fillId="0" borderId="0"/>
    <xf numFmtId="43" fontId="69" fillId="0" borderId="0" applyFont="0" applyFill="0" applyBorder="0" applyAlignment="0" applyProtection="0"/>
    <xf numFmtId="9" fontId="69" fillId="0" borderId="0" applyFont="0" applyFill="0" applyBorder="0" applyAlignment="0" applyProtection="0"/>
    <xf numFmtId="44"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3"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4"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8"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83" fillId="9"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94" fillId="55"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94" fillId="56"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94" fillId="59"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10" fillId="61" borderId="0" applyNumberFormat="0" applyBorder="0" applyAlignment="0" applyProtection="0"/>
    <xf numFmtId="0" fontId="10" fillId="62" borderId="0" applyNumberFormat="0" applyBorder="0" applyAlignment="0" applyProtection="0"/>
    <xf numFmtId="0" fontId="94" fillId="63"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94" fillId="59" borderId="0" applyNumberFormat="0" applyBorder="0" applyAlignment="0" applyProtection="0"/>
    <xf numFmtId="0" fontId="10" fillId="62" borderId="0" applyNumberFormat="0" applyBorder="0" applyAlignment="0" applyProtection="0"/>
    <xf numFmtId="0" fontId="10" fillId="63" borderId="0" applyNumberFormat="0" applyBorder="0" applyAlignment="0" applyProtection="0"/>
    <xf numFmtId="0" fontId="94" fillId="63"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94" fillId="64"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94" fillId="54" borderId="0" applyNumberFormat="0" applyBorder="0" applyAlignment="0" applyProtection="0"/>
    <xf numFmtId="0" fontId="94" fillId="65" borderId="0" applyNumberFormat="0" applyBorder="0" applyAlignment="0" applyProtection="0"/>
    <xf numFmtId="0" fontId="94" fillId="65" borderId="0" applyNumberFormat="0" applyBorder="0" applyAlignment="0" applyProtection="0"/>
    <xf numFmtId="0" fontId="94" fillId="65" borderId="0" applyNumberFormat="0" applyBorder="0" applyAlignment="0" applyProtection="0"/>
    <xf numFmtId="0" fontId="10" fillId="66" borderId="0" applyNumberFormat="0" applyBorder="0" applyAlignment="0" applyProtection="0"/>
    <xf numFmtId="0" fontId="10" fillId="58" borderId="0" applyNumberFormat="0" applyBorder="0" applyAlignment="0" applyProtection="0"/>
    <xf numFmtId="0" fontId="94" fillId="67"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4" fillId="68" borderId="0" applyNumberFormat="0" applyBorder="0" applyAlignment="0" applyProtection="0"/>
    <xf numFmtId="0" fontId="95" fillId="58" borderId="0" applyNumberFormat="0" applyBorder="0" applyAlignment="0" applyProtection="0"/>
    <xf numFmtId="0" fontId="95" fillId="58" borderId="0" applyNumberFormat="0" applyBorder="0" applyAlignment="0" applyProtection="0"/>
    <xf numFmtId="0" fontId="95" fillId="58" borderId="0" applyNumberFormat="0" applyBorder="0" applyAlignment="0" applyProtection="0"/>
    <xf numFmtId="0" fontId="96" fillId="69" borderId="1" applyNumberFormat="0" applyAlignment="0" applyProtection="0"/>
    <xf numFmtId="0" fontId="96" fillId="69" borderId="1" applyNumberFormat="0" applyAlignment="0" applyProtection="0"/>
    <xf numFmtId="0" fontId="96" fillId="69" borderId="1" applyNumberFormat="0" applyAlignment="0" applyProtection="0"/>
    <xf numFmtId="0" fontId="97" fillId="59" borderId="2" applyNumberFormat="0" applyAlignment="0" applyProtection="0"/>
    <xf numFmtId="0" fontId="97" fillId="59" borderId="2" applyNumberFormat="0" applyAlignment="0" applyProtection="0"/>
    <xf numFmtId="0" fontId="97" fillId="59" borderId="2" applyNumberFormat="0" applyAlignment="0" applyProtection="0"/>
    <xf numFmtId="0" fontId="98" fillId="70" borderId="0" applyNumberFormat="0" applyBorder="0" applyAlignment="0" applyProtection="0"/>
    <xf numFmtId="0" fontId="98" fillId="71" borderId="0" applyNumberFormat="0" applyBorder="0" applyAlignment="0" applyProtection="0"/>
    <xf numFmtId="0" fontId="98" fillId="72" borderId="0" applyNumberFormat="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1" fillId="0" borderId="21" applyNumberFormat="0" applyFill="0" applyAlignment="0" applyProtection="0"/>
    <xf numFmtId="0" fontId="101" fillId="0" borderId="21" applyNumberFormat="0" applyFill="0" applyAlignment="0" applyProtection="0"/>
    <xf numFmtId="0" fontId="101" fillId="0" borderId="21"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67" borderId="1" applyNumberFormat="0" applyAlignment="0" applyProtection="0"/>
    <xf numFmtId="0" fontId="102" fillId="67" borderId="1" applyNumberFormat="0" applyAlignment="0" applyProtection="0"/>
    <xf numFmtId="0" fontId="102" fillId="67" borderId="1" applyNumberFormat="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4" fillId="67" borderId="0" applyNumberFormat="0" applyBorder="0" applyAlignment="0" applyProtection="0"/>
    <xf numFmtId="0" fontId="104" fillId="67" borderId="0" applyNumberFormat="0" applyBorder="0" applyAlignment="0" applyProtection="0"/>
    <xf numFmtId="0" fontId="104" fillId="67" borderId="0" applyNumberFormat="0" applyBorder="0" applyAlignment="0" applyProtection="0"/>
    <xf numFmtId="0" fontId="8" fillId="66" borderId="7" applyNumberFormat="0" applyFont="0" applyAlignment="0" applyProtection="0"/>
    <xf numFmtId="0" fontId="8" fillId="66" borderId="7" applyNumberFormat="0" applyFont="0" applyAlignment="0" applyProtection="0"/>
    <xf numFmtId="0" fontId="8" fillId="66" borderId="7" applyNumberFormat="0" applyFont="0" applyAlignment="0" applyProtection="0"/>
    <xf numFmtId="0" fontId="105" fillId="69" borderId="8" applyNumberFormat="0" applyAlignment="0" applyProtection="0"/>
    <xf numFmtId="0" fontId="105" fillId="69" borderId="8" applyNumberFormat="0" applyAlignment="0" applyProtection="0"/>
    <xf numFmtId="0" fontId="105" fillId="69" borderId="8" applyNumberFormat="0" applyAlignment="0" applyProtection="0"/>
    <xf numFmtId="4" fontId="106" fillId="23" borderId="23" applyNumberFormat="0" applyProtection="0">
      <alignment vertical="center"/>
    </xf>
    <xf numFmtId="4" fontId="107" fillId="23" borderId="23" applyNumberFormat="0" applyProtection="0">
      <alignment vertical="center"/>
    </xf>
    <xf numFmtId="4" fontId="106" fillId="23" borderId="23" applyNumberFormat="0" applyProtection="0">
      <alignment horizontal="left" vertical="center" indent="1"/>
    </xf>
    <xf numFmtId="0" fontId="106" fillId="23" borderId="23" applyNumberFormat="0" applyProtection="0">
      <alignment horizontal="left" vertical="top" indent="1"/>
    </xf>
    <xf numFmtId="4" fontId="106" fillId="51" borderId="0" applyNumberFormat="0" applyProtection="0">
      <alignment horizontal="left" vertical="center" indent="1"/>
    </xf>
    <xf numFmtId="4" fontId="83" fillId="4" borderId="23" applyNumberFormat="0" applyProtection="0">
      <alignment horizontal="right" vertical="center"/>
    </xf>
    <xf numFmtId="4" fontId="83" fillId="11" borderId="23" applyNumberFormat="0" applyProtection="0">
      <alignment horizontal="right" vertical="center"/>
    </xf>
    <xf numFmtId="4" fontId="83" fillId="20" borderId="23" applyNumberFormat="0" applyProtection="0">
      <alignment horizontal="right" vertical="center"/>
    </xf>
    <xf numFmtId="4" fontId="83" fillId="14" borderId="23" applyNumberFormat="0" applyProtection="0">
      <alignment horizontal="right" vertical="center"/>
    </xf>
    <xf numFmtId="4" fontId="83" fillId="18" borderId="23" applyNumberFormat="0" applyProtection="0">
      <alignment horizontal="right" vertical="center"/>
    </xf>
    <xf numFmtId="4" fontId="83" fillId="22" borderId="23" applyNumberFormat="0" applyProtection="0">
      <alignment horizontal="right" vertical="center"/>
    </xf>
    <xf numFmtId="4" fontId="83" fillId="21" borderId="23" applyNumberFormat="0" applyProtection="0">
      <alignment horizontal="right" vertical="center"/>
    </xf>
    <xf numFmtId="4" fontId="83" fillId="74" borderId="23" applyNumberFormat="0" applyProtection="0">
      <alignment horizontal="right" vertical="center"/>
    </xf>
    <xf numFmtId="4" fontId="83" fillId="12" borderId="23" applyNumberFormat="0" applyProtection="0">
      <alignment horizontal="right" vertical="center"/>
    </xf>
    <xf numFmtId="4" fontId="106" fillId="75" borderId="24" applyNumberFormat="0" applyProtection="0">
      <alignment horizontal="left" vertical="center" indent="1"/>
    </xf>
    <xf numFmtId="4" fontId="83" fillId="76" borderId="0" applyNumberFormat="0" applyProtection="0">
      <alignment horizontal="left" vertical="center" indent="1"/>
    </xf>
    <xf numFmtId="4" fontId="108" fillId="52" borderId="0" applyNumberFormat="0" applyProtection="0">
      <alignment horizontal="left" vertical="center" indent="1"/>
    </xf>
    <xf numFmtId="4" fontId="83" fillId="51" borderId="23" applyNumberFormat="0" applyProtection="0">
      <alignment horizontal="right" vertical="center"/>
    </xf>
    <xf numFmtId="4" fontId="83" fillId="76" borderId="0" applyNumberFormat="0" applyProtection="0">
      <alignment horizontal="left" vertical="center" indent="1"/>
    </xf>
    <xf numFmtId="4" fontId="83" fillId="51" borderId="0" applyNumberFormat="0" applyProtection="0">
      <alignment horizontal="left" vertical="center" indent="1"/>
    </xf>
    <xf numFmtId="0" fontId="8" fillId="52" borderId="23" applyNumberFormat="0" applyProtection="0">
      <alignment horizontal="left" vertical="center" indent="1"/>
    </xf>
    <xf numFmtId="0" fontId="8" fillId="52" borderId="23" applyNumberFormat="0" applyProtection="0">
      <alignment horizontal="left" vertical="top" indent="1"/>
    </xf>
    <xf numFmtId="0" fontId="8" fillId="51" borderId="23" applyNumberFormat="0" applyProtection="0">
      <alignment horizontal="left" vertical="center" indent="1"/>
    </xf>
    <xf numFmtId="0" fontId="8" fillId="51" borderId="23" applyNumberFormat="0" applyProtection="0">
      <alignment horizontal="left" vertical="top" indent="1"/>
    </xf>
    <xf numFmtId="0" fontId="8" fillId="10" borderId="23" applyNumberFormat="0" applyProtection="0">
      <alignment horizontal="left" vertical="center" indent="1"/>
    </xf>
    <xf numFmtId="0" fontId="8" fillId="10" borderId="23" applyNumberFormat="0" applyProtection="0">
      <alignment horizontal="left" vertical="top" indent="1"/>
    </xf>
    <xf numFmtId="0" fontId="8" fillId="76" borderId="23" applyNumberFormat="0" applyProtection="0">
      <alignment horizontal="left" vertical="center" indent="1"/>
    </xf>
    <xf numFmtId="0" fontId="8" fillId="76" borderId="23" applyNumberFormat="0" applyProtection="0">
      <alignment horizontal="left" vertical="top" indent="1"/>
    </xf>
    <xf numFmtId="0" fontId="8" fillId="3" borderId="14" applyNumberFormat="0">
      <protection locked="0"/>
    </xf>
    <xf numFmtId="4" fontId="83" fillId="24" borderId="23" applyNumberFormat="0" applyProtection="0">
      <alignment vertical="center"/>
    </xf>
    <xf numFmtId="4" fontId="109" fillId="24" borderId="23" applyNumberFormat="0" applyProtection="0">
      <alignment vertical="center"/>
    </xf>
    <xf numFmtId="4" fontId="83" fillId="24" borderId="23" applyNumberFormat="0" applyProtection="0">
      <alignment horizontal="left" vertical="center" indent="1"/>
    </xf>
    <xf numFmtId="0" fontId="83" fillId="24" borderId="23" applyNumberFormat="0" applyProtection="0">
      <alignment horizontal="left" vertical="top" indent="1"/>
    </xf>
    <xf numFmtId="4" fontId="83" fillId="76" borderId="23" applyNumberFormat="0" applyProtection="0">
      <alignment horizontal="right" vertical="center"/>
    </xf>
    <xf numFmtId="4" fontId="109" fillId="76" borderId="23" applyNumberFormat="0" applyProtection="0">
      <alignment horizontal="right" vertical="center"/>
    </xf>
    <xf numFmtId="4" fontId="83" fillId="51" borderId="23" applyNumberFormat="0" applyProtection="0">
      <alignment horizontal="left" vertical="center" indent="1"/>
    </xf>
    <xf numFmtId="0" fontId="83" fillId="51" borderId="23" applyNumberFormat="0" applyProtection="0">
      <alignment horizontal="left" vertical="top" indent="1"/>
    </xf>
    <xf numFmtId="4" fontId="110" fillId="77" borderId="0" applyNumberFormat="0" applyProtection="0">
      <alignment horizontal="left" vertical="center" indent="1"/>
    </xf>
    <xf numFmtId="4" fontId="111" fillId="76" borderId="23" applyNumberFormat="0" applyProtection="0">
      <alignment horizontal="right" vertical="center"/>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43" fontId="6" fillId="0" borderId="0" applyFont="0" applyFill="0" applyBorder="0" applyAlignment="0" applyProtection="0"/>
    <xf numFmtId="0" fontId="8" fillId="0" borderId="0"/>
    <xf numFmtId="0" fontId="38" fillId="0" borderId="0"/>
    <xf numFmtId="0" fontId="118" fillId="0" borderId="0"/>
    <xf numFmtId="0" fontId="42" fillId="0" borderId="0" applyNumberFormat="0" applyFill="0" applyBorder="0" applyAlignment="0" applyProtection="0"/>
    <xf numFmtId="9" fontId="42" fillId="0" borderId="0" applyFont="0" applyFill="0" applyBorder="0" applyAlignment="0" applyProtection="0"/>
    <xf numFmtId="0" fontId="119" fillId="0" borderId="0"/>
    <xf numFmtId="44" fontId="128"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7" fillId="0" borderId="0"/>
    <xf numFmtId="0" fontId="3" fillId="0" borderId="0"/>
    <xf numFmtId="9" fontId="3" fillId="0" borderId="0" applyFont="0" applyFill="0" applyBorder="0" applyAlignment="0" applyProtection="0"/>
    <xf numFmtId="0" fontId="135" fillId="0" borderId="0" applyNumberFormat="0" applyFill="0" applyBorder="0" applyAlignment="0" applyProtection="0"/>
    <xf numFmtId="0" fontId="8" fillId="0" borderId="0"/>
    <xf numFmtId="0" fontId="8" fillId="0" borderId="0"/>
    <xf numFmtId="0" fontId="2" fillId="0" borderId="0"/>
    <xf numFmtId="0" fontId="139" fillId="0" borderId="0" applyNumberFormat="0" applyFill="0" applyBorder="0" applyAlignment="0" applyProtection="0"/>
    <xf numFmtId="0" fontId="2" fillId="81" borderId="0" applyNumberFormat="0" applyBorder="0" applyAlignment="0" applyProtection="0"/>
    <xf numFmtId="0" fontId="10" fillId="3" borderId="0" applyNumberFormat="0" applyBorder="0" applyAlignment="0" applyProtection="0"/>
    <xf numFmtId="0" fontId="83" fillId="51" borderId="0" applyNumberFormat="0" applyBorder="0" applyAlignment="0" applyProtection="0"/>
    <xf numFmtId="0" fontId="9" fillId="2" borderId="0" applyNumberFormat="0" applyBorder="0" applyAlignment="0" applyProtection="0"/>
    <xf numFmtId="0" fontId="2" fillId="82" borderId="0" applyNumberFormat="0" applyBorder="0" applyAlignment="0" applyProtection="0"/>
    <xf numFmtId="0" fontId="10" fillId="3" borderId="0" applyNumberFormat="0" applyBorder="0" applyAlignment="0" applyProtection="0"/>
    <xf numFmtId="0" fontId="83" fillId="11" borderId="0" applyNumberFormat="0" applyBorder="0" applyAlignment="0" applyProtection="0"/>
    <xf numFmtId="0" fontId="9" fillId="4" borderId="0" applyNumberFormat="0" applyBorder="0" applyAlignment="0" applyProtection="0"/>
    <xf numFmtId="0" fontId="2" fillId="83" borderId="0" applyNumberFormat="0" applyBorder="0" applyAlignment="0" applyProtection="0"/>
    <xf numFmtId="0" fontId="10" fillId="3" borderId="0" applyNumberFormat="0" applyBorder="0" applyAlignment="0" applyProtection="0"/>
    <xf numFmtId="0" fontId="83" fillId="24" borderId="0" applyNumberFormat="0" applyBorder="0" applyAlignment="0" applyProtection="0"/>
    <xf numFmtId="0" fontId="9" fillId="5" borderId="0" applyNumberFormat="0" applyBorder="0" applyAlignment="0" applyProtection="0"/>
    <xf numFmtId="0" fontId="2" fillId="84" borderId="0" applyNumberFormat="0" applyBorder="0" applyAlignment="0" applyProtection="0"/>
    <xf numFmtId="0" fontId="10" fillId="3" borderId="0" applyNumberFormat="0" applyBorder="0" applyAlignment="0" applyProtection="0"/>
    <xf numFmtId="0" fontId="83" fillId="3" borderId="0" applyNumberFormat="0" applyBorder="0" applyAlignment="0" applyProtection="0"/>
    <xf numFmtId="0" fontId="9" fillId="6" borderId="0" applyNumberFormat="0" applyBorder="0" applyAlignment="0" applyProtection="0"/>
    <xf numFmtId="0" fontId="2" fillId="85" borderId="0" applyNumberFormat="0" applyBorder="0" applyAlignment="0" applyProtection="0"/>
    <xf numFmtId="0" fontId="10" fillId="8" borderId="0" applyNumberFormat="0" applyBorder="0" applyAlignment="0" applyProtection="0"/>
    <xf numFmtId="0" fontId="83" fillId="10" borderId="0" applyNumberFormat="0" applyBorder="0" applyAlignment="0" applyProtection="0"/>
    <xf numFmtId="0" fontId="9" fillId="7" borderId="0" applyNumberFormat="0" applyBorder="0" applyAlignment="0" applyProtection="0"/>
    <xf numFmtId="0" fontId="2" fillId="86" borderId="0" applyNumberFormat="0" applyBorder="0" applyAlignment="0" applyProtection="0"/>
    <xf numFmtId="0" fontId="10" fillId="8" borderId="0" applyNumberFormat="0" applyBorder="0" applyAlignment="0" applyProtection="0"/>
    <xf numFmtId="0" fontId="83" fillId="4" borderId="0" applyNumberFormat="0" applyBorder="0" applyAlignment="0" applyProtection="0"/>
    <xf numFmtId="0" fontId="9" fillId="9" borderId="0" applyNumberFormat="0" applyBorder="0" applyAlignment="0" applyProtection="0"/>
    <xf numFmtId="0" fontId="2" fillId="87" borderId="0" applyNumberFormat="0" applyBorder="0" applyAlignment="0" applyProtection="0"/>
    <xf numFmtId="0" fontId="10" fillId="3" borderId="0" applyNumberFormat="0" applyBorder="0" applyAlignment="0" applyProtection="0"/>
    <xf numFmtId="0" fontId="83" fillId="52" borderId="0" applyNumberFormat="0" applyBorder="0" applyAlignment="0" applyProtection="0"/>
    <xf numFmtId="0" fontId="9" fillId="10" borderId="0" applyNumberFormat="0" applyBorder="0" applyAlignment="0" applyProtection="0"/>
    <xf numFmtId="0" fontId="2" fillId="88" borderId="0" applyNumberFormat="0" applyBorder="0" applyAlignment="0" applyProtection="0"/>
    <xf numFmtId="0" fontId="10" fillId="3" borderId="0" applyNumberFormat="0" applyBorder="0" applyAlignment="0" applyProtection="0"/>
    <xf numFmtId="0" fontId="83" fillId="11" borderId="0" applyNumberFormat="0" applyBorder="0" applyAlignment="0" applyProtection="0"/>
    <xf numFmtId="0" fontId="9" fillId="11" borderId="0" applyNumberFormat="0" applyBorder="0" applyAlignment="0" applyProtection="0"/>
    <xf numFmtId="0" fontId="2" fillId="89" borderId="0" applyNumberFormat="0" applyBorder="0" applyAlignment="0" applyProtection="0"/>
    <xf numFmtId="0" fontId="10" fillId="8" borderId="0" applyNumberFormat="0" applyBorder="0" applyAlignment="0" applyProtection="0"/>
    <xf numFmtId="0" fontId="83" fillId="21" borderId="0" applyNumberFormat="0" applyBorder="0" applyAlignment="0" applyProtection="0"/>
    <xf numFmtId="0" fontId="9" fillId="12" borderId="0" applyNumberFormat="0" applyBorder="0" applyAlignment="0" applyProtection="0"/>
    <xf numFmtId="0" fontId="2" fillId="90" borderId="0" applyNumberFormat="0" applyBorder="0" applyAlignment="0" applyProtection="0"/>
    <xf numFmtId="0" fontId="10" fillId="8" borderId="0" applyNumberFormat="0" applyBorder="0" applyAlignment="0" applyProtection="0"/>
    <xf numFmtId="0" fontId="83" fillId="8" borderId="0" applyNumberFormat="0" applyBorder="0" applyAlignment="0" applyProtection="0"/>
    <xf numFmtId="0" fontId="9" fillId="6" borderId="0" applyNumberFormat="0" applyBorder="0" applyAlignment="0" applyProtection="0"/>
    <xf numFmtId="0" fontId="2" fillId="91" borderId="0" applyNumberFormat="0" applyBorder="0" applyAlignment="0" applyProtection="0"/>
    <xf numFmtId="0" fontId="10" fillId="13" borderId="0" applyNumberFormat="0" applyBorder="0" applyAlignment="0" applyProtection="0"/>
    <xf numFmtId="0" fontId="83" fillId="52" borderId="0" applyNumberFormat="0" applyBorder="0" applyAlignment="0" applyProtection="0"/>
    <xf numFmtId="0" fontId="9" fillId="10" borderId="0" applyNumberFormat="0" applyBorder="0" applyAlignment="0" applyProtection="0"/>
    <xf numFmtId="0" fontId="2" fillId="92" borderId="0" applyNumberFormat="0" applyBorder="0" applyAlignment="0" applyProtection="0"/>
    <xf numFmtId="0" fontId="10" fillId="8" borderId="0" applyNumberFormat="0" applyBorder="0" applyAlignment="0" applyProtection="0"/>
    <xf numFmtId="0" fontId="83" fillId="9" borderId="0" applyNumberFormat="0" applyBorder="0" applyAlignment="0" applyProtection="0"/>
    <xf numFmtId="0" fontId="9" fillId="14" borderId="0" applyNumberFormat="0" applyBorder="0" applyAlignment="0" applyProtection="0"/>
    <xf numFmtId="0" fontId="11" fillId="15"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2" fillId="4" borderId="0" applyNumberFormat="0" applyBorder="0" applyAlignment="0" applyProtection="0"/>
    <xf numFmtId="0" fontId="14" fillId="8" borderId="1" applyNumberFormat="0" applyAlignment="0" applyProtection="0"/>
    <xf numFmtId="0" fontId="15" fillId="13" borderId="2" applyNumberFormat="0" applyAlignment="0" applyProtection="0"/>
    <xf numFmtId="43" fontId="2" fillId="0" borderId="0" applyFont="0" applyFill="0" applyBorder="0" applyAlignment="0" applyProtection="0"/>
    <xf numFmtId="43" fontId="8" fillId="0" borderId="0" applyFont="0" applyFill="0" applyBorder="0" applyAlignment="0" applyProtection="0"/>
    <xf numFmtId="0" fontId="17" fillId="0" borderId="0" applyNumberFormat="0" applyFill="0" applyBorder="0" applyAlignment="0" applyProtection="0"/>
    <xf numFmtId="0" fontId="18" fillId="5" borderId="0" applyNumberFormat="0" applyBorder="0" applyAlignment="0" applyProtection="0"/>
    <xf numFmtId="0" fontId="20" fillId="0" borderId="3" applyNumberFormat="0" applyFill="0" applyAlignment="0" applyProtection="0"/>
    <xf numFmtId="0" fontId="22"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8" fillId="9" borderId="1" applyNumberFormat="0" applyAlignment="0" applyProtection="0"/>
    <xf numFmtId="0" fontId="29" fillId="0" borderId="6" applyNumberFormat="0" applyFill="0" applyAlignment="0" applyProtection="0"/>
    <xf numFmtId="0" fontId="30" fillId="23" borderId="0" applyNumberFormat="0" applyBorder="0" applyAlignment="0" applyProtection="0"/>
    <xf numFmtId="0" fontId="10" fillId="0" borderId="0"/>
    <xf numFmtId="0" fontId="32" fillId="0" borderId="0"/>
    <xf numFmtId="0" fontId="8" fillId="0" borderId="0"/>
    <xf numFmtId="0" fontId="10" fillId="24" borderId="7" applyNumberFormat="0" applyFont="0" applyAlignment="0" applyProtection="0"/>
    <xf numFmtId="0" fontId="10" fillId="24" borderId="7" applyNumberFormat="0" applyFont="0" applyAlignment="0" applyProtection="0"/>
    <xf numFmtId="0" fontId="8" fillId="24" borderId="7" applyNumberFormat="0" applyFont="0" applyAlignment="0" applyProtection="0"/>
    <xf numFmtId="0" fontId="140" fillId="27" borderId="7">
      <alignment vertical="center"/>
    </xf>
    <xf numFmtId="0" fontId="35" fillId="8" borderId="8" applyNumberFormat="0" applyAlignment="0" applyProtection="0"/>
    <xf numFmtId="0" fontId="139" fillId="0" borderId="0" applyNumberFormat="0" applyFill="0" applyBorder="0" applyAlignment="0" applyProtection="0"/>
    <xf numFmtId="0" fontId="13" fillId="93" borderId="0" applyNumberFormat="0" applyBorder="0" applyProtection="0">
      <alignment wrapText="1"/>
    </xf>
    <xf numFmtId="0" fontId="13" fillId="0" borderId="0" applyNumberFormat="0" applyFill="0" applyBorder="0" applyProtection="0">
      <alignment wrapText="1"/>
    </xf>
    <xf numFmtId="0" fontId="23" fillId="0" borderId="0" applyNumberFormat="0" applyFill="0" applyBorder="0" applyAlignment="0" applyProtection="0"/>
    <xf numFmtId="0" fontId="38" fillId="0" borderId="0" applyNumberFormat="0" applyFill="0" applyBorder="0" applyProtection="0">
      <alignment vertical="top" wrapText="1"/>
    </xf>
    <xf numFmtId="0" fontId="141" fillId="0" borderId="0" applyNumberFormat="0" applyFill="0" applyBorder="0" applyAlignment="0" applyProtection="0"/>
    <xf numFmtId="0" fontId="8" fillId="0" borderId="27" applyNumberFormat="0" applyFont="0" applyFill="0" applyAlignment="0" applyProtection="0"/>
    <xf numFmtId="0" fontId="8" fillId="0" borderId="28" applyNumberFormat="0" applyFont="0" applyFill="0" applyAlignment="0" applyProtection="0"/>
    <xf numFmtId="0" fontId="8" fillId="0" borderId="29" applyNumberFormat="0" applyFont="0" applyFill="0" applyAlignment="0" applyProtection="0"/>
    <xf numFmtId="0" fontId="93" fillId="94" borderId="30" applyNumberFormat="0" applyAlignment="0" applyProtection="0"/>
    <xf numFmtId="0" fontId="93" fillId="95" borderId="31" applyNumberFormat="0" applyAlignment="0" applyProtection="0"/>
    <xf numFmtId="0" fontId="8" fillId="96" borderId="32" applyNumberFormat="0" applyFont="0" applyAlignment="0" applyProtection="0"/>
    <xf numFmtId="0" fontId="8" fillId="97" borderId="33" applyNumberFormat="0" applyFont="0" applyAlignment="0" applyProtection="0"/>
    <xf numFmtId="0" fontId="8" fillId="98" borderId="34" applyNumberFormat="0" applyFont="0" applyAlignment="0" applyProtection="0"/>
    <xf numFmtId="0" fontId="8" fillId="26" borderId="35" applyNumberFormat="0" applyFont="0" applyAlignment="0" applyProtection="0"/>
    <xf numFmtId="0" fontId="8" fillId="99" borderId="0" applyNumberFormat="0" applyFont="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83" fillId="0" borderId="36" applyNumberFormat="0" applyFill="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xf numFmtId="0" fontId="1" fillId="0" borderId="0"/>
    <xf numFmtId="0" fontId="1" fillId="0" borderId="0"/>
    <xf numFmtId="9" fontId="8"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378">
    <xf numFmtId="0" fontId="0" fillId="0" borderId="0" xfId="0"/>
    <xf numFmtId="0" fontId="43" fillId="26" borderId="0" xfId="131" applyFont="1" applyFill="1"/>
    <xf numFmtId="0" fontId="44" fillId="26" borderId="0" xfId="131" applyFont="1" applyFill="1"/>
    <xf numFmtId="0" fontId="45" fillId="27" borderId="0" xfId="131" applyFont="1" applyFill="1"/>
    <xf numFmtId="0" fontId="45" fillId="27" borderId="0" xfId="131" applyFont="1" applyFill="1" applyAlignment="1">
      <alignment horizontal="right"/>
    </xf>
    <xf numFmtId="0" fontId="46" fillId="27" borderId="0" xfId="131" applyFont="1" applyFill="1"/>
    <xf numFmtId="0" fontId="34" fillId="0" borderId="0" xfId="131"/>
    <xf numFmtId="0" fontId="34" fillId="0" borderId="0" xfId="131" applyAlignment="1">
      <alignment horizontal="right"/>
    </xf>
    <xf numFmtId="0" fontId="48" fillId="0" borderId="0" xfId="131" applyFont="1"/>
    <xf numFmtId="0" fontId="34" fillId="0" borderId="0" xfId="131" applyFill="1"/>
    <xf numFmtId="0" fontId="34" fillId="0" borderId="0" xfId="131" applyFont="1" applyFill="1"/>
    <xf numFmtId="164" fontId="49" fillId="0" borderId="0" xfId="131" applyNumberFormat="1" applyFont="1" applyFill="1" applyAlignment="1">
      <alignment horizontal="right"/>
    </xf>
    <xf numFmtId="0" fontId="48" fillId="0" borderId="0" xfId="131" applyFont="1" applyFill="1"/>
    <xf numFmtId="164" fontId="50" fillId="0" borderId="0" xfId="132" applyNumberFormat="1" applyFont="1" applyFill="1" applyBorder="1" applyAlignment="1">
      <alignment horizontal="right"/>
    </xf>
    <xf numFmtId="0" fontId="47" fillId="0" borderId="0" xfId="131" applyFont="1" applyAlignment="1">
      <alignment horizontal="left"/>
    </xf>
    <xf numFmtId="0" fontId="34" fillId="0" borderId="0" xfId="131" applyAlignment="1">
      <alignment horizontal="left"/>
    </xf>
    <xf numFmtId="0" fontId="34" fillId="26" borderId="0" xfId="131" applyFill="1"/>
    <xf numFmtId="0" fontId="48" fillId="26" borderId="0" xfId="131" applyFont="1" applyFill="1"/>
    <xf numFmtId="0" fontId="46" fillId="0" borderId="0" xfId="131" applyFont="1" applyFill="1"/>
    <xf numFmtId="0" fontId="34" fillId="0" borderId="0" xfId="131" applyBorder="1"/>
    <xf numFmtId="0" fontId="54" fillId="0" borderId="0" xfId="131" applyFont="1" applyBorder="1"/>
    <xf numFmtId="0" fontId="34" fillId="0" borderId="11" xfId="131" applyBorder="1"/>
    <xf numFmtId="0" fontId="46" fillId="0" borderId="12" xfId="131" applyFont="1" applyBorder="1"/>
    <xf numFmtId="0" fontId="46" fillId="0" borderId="0" xfId="131" applyFont="1"/>
    <xf numFmtId="0" fontId="46" fillId="0" borderId="12" xfId="131" applyFont="1" applyFill="1" applyBorder="1"/>
    <xf numFmtId="166" fontId="53" fillId="0" borderId="0" xfId="131" applyNumberFormat="1" applyFont="1" applyFill="1"/>
    <xf numFmtId="0" fontId="46" fillId="28" borderId="13" xfId="131" applyFont="1" applyFill="1" applyBorder="1"/>
    <xf numFmtId="9" fontId="53" fillId="28" borderId="13" xfId="144" applyFont="1" applyFill="1" applyBorder="1"/>
    <xf numFmtId="9" fontId="53" fillId="28" borderId="13" xfId="144" applyFont="1" applyFill="1" applyBorder="1" applyAlignment="1">
      <alignment horizontal="right"/>
    </xf>
    <xf numFmtId="0" fontId="34" fillId="0" borderId="0" xfId="131" applyFont="1"/>
    <xf numFmtId="164" fontId="34" fillId="0" borderId="0" xfId="131" applyNumberFormat="1"/>
    <xf numFmtId="0" fontId="59" fillId="27" borderId="0" xfId="131" applyFont="1" applyFill="1"/>
    <xf numFmtId="0" fontId="60" fillId="27" borderId="0" xfId="85" applyFont="1" applyFill="1" applyAlignment="1" applyProtection="1"/>
    <xf numFmtId="0" fontId="61" fillId="27" borderId="0" xfId="131" applyFont="1" applyFill="1"/>
    <xf numFmtId="0" fontId="46" fillId="0" borderId="0" xfId="131" applyFont="1" applyAlignment="1">
      <alignment horizontal="right"/>
    </xf>
    <xf numFmtId="0" fontId="46" fillId="0" borderId="0" xfId="131" applyFont="1" applyBorder="1" applyAlignment="1">
      <alignment horizontal="right"/>
    </xf>
    <xf numFmtId="0" fontId="56" fillId="0" borderId="0" xfId="131" applyFont="1" applyBorder="1" applyAlignment="1">
      <alignment horizontal="right"/>
    </xf>
    <xf numFmtId="0" fontId="56" fillId="0" borderId="12" xfId="131" applyFont="1" applyBorder="1"/>
    <xf numFmtId="0" fontId="46" fillId="0" borderId="0" xfId="131" applyFont="1" applyBorder="1"/>
    <xf numFmtId="10" fontId="34" fillId="0" borderId="0" xfId="131" applyNumberFormat="1"/>
    <xf numFmtId="10" fontId="53" fillId="0" borderId="0" xfId="131" applyNumberFormat="1" applyFont="1"/>
    <xf numFmtId="173" fontId="34" fillId="0" borderId="0" xfId="131" applyNumberFormat="1"/>
    <xf numFmtId="173" fontId="34" fillId="0" borderId="0" xfId="144" applyNumberFormat="1" applyFont="1"/>
    <xf numFmtId="0" fontId="34" fillId="29" borderId="0" xfId="131" applyFill="1"/>
    <xf numFmtId="0" fontId="57" fillId="29" borderId="0" xfId="131" applyFont="1" applyFill="1"/>
    <xf numFmtId="166" fontId="57" fillId="29" borderId="0" xfId="131" applyNumberFormat="1" applyFont="1" applyFill="1"/>
    <xf numFmtId="166" fontId="49" fillId="29" borderId="0" xfId="131" applyNumberFormat="1" applyFont="1" applyFill="1"/>
    <xf numFmtId="0" fontId="48" fillId="29" borderId="0" xfId="131" applyFont="1" applyFill="1"/>
    <xf numFmtId="166" fontId="50" fillId="29" borderId="0" xfId="131" applyNumberFormat="1" applyFont="1" applyFill="1"/>
    <xf numFmtId="0" fontId="58" fillId="29" borderId="0" xfId="131" applyFont="1" applyFill="1"/>
    <xf numFmtId="166" fontId="58" fillId="29" borderId="0" xfId="131" applyNumberFormat="1" applyFont="1" applyFill="1"/>
    <xf numFmtId="0" fontId="46" fillId="29" borderId="12" xfId="131" applyFont="1" applyFill="1" applyBorder="1"/>
    <xf numFmtId="166" fontId="53" fillId="29" borderId="12" xfId="131" applyNumberFormat="1" applyFont="1" applyFill="1" applyBorder="1"/>
    <xf numFmtId="172" fontId="34" fillId="29" borderId="0" xfId="131" applyNumberFormat="1" applyFill="1"/>
    <xf numFmtId="0" fontId="34" fillId="29" borderId="0" xfId="131" applyFont="1" applyFill="1"/>
    <xf numFmtId="166" fontId="61" fillId="29" borderId="0" xfId="131" applyNumberFormat="1" applyFont="1" applyFill="1"/>
    <xf numFmtId="166" fontId="56" fillId="29" borderId="0" xfId="131" applyNumberFormat="1" applyFont="1" applyFill="1"/>
    <xf numFmtId="0" fontId="46" fillId="29" borderId="0" xfId="131" applyFont="1" applyFill="1"/>
    <xf numFmtId="166" fontId="53" fillId="29" borderId="0" xfId="131" applyNumberFormat="1" applyFont="1" applyFill="1"/>
    <xf numFmtId="172" fontId="53" fillId="29" borderId="0" xfId="131" applyNumberFormat="1" applyFont="1" applyFill="1"/>
    <xf numFmtId="172" fontId="53" fillId="29" borderId="12" xfId="131" applyNumberFormat="1" applyFont="1" applyFill="1" applyBorder="1"/>
    <xf numFmtId="0" fontId="34" fillId="29" borderId="12" xfId="131" applyFill="1" applyBorder="1"/>
    <xf numFmtId="0" fontId="51" fillId="0" borderId="0" xfId="131" applyFont="1" applyFill="1" applyAlignment="1">
      <alignment horizontal="left"/>
    </xf>
    <xf numFmtId="0" fontId="51" fillId="29" borderId="0" xfId="131" applyFont="1" applyFill="1" applyAlignment="1">
      <alignment horizontal="left"/>
    </xf>
    <xf numFmtId="164" fontId="47" fillId="29" borderId="14" xfId="131" applyNumberFormat="1" applyFont="1" applyFill="1" applyBorder="1" applyAlignment="1">
      <alignment horizontal="right"/>
    </xf>
    <xf numFmtId="164" fontId="47" fillId="0" borderId="14" xfId="131" applyNumberFormat="1" applyFont="1" applyBorder="1" applyAlignment="1">
      <alignment horizontal="right"/>
    </xf>
    <xf numFmtId="0" fontId="62" fillId="0" borderId="0" xfId="131" applyFont="1"/>
    <xf numFmtId="0" fontId="62" fillId="0" borderId="0" xfId="131" applyFont="1" applyBorder="1"/>
    <xf numFmtId="0" fontId="62" fillId="0" borderId="0" xfId="131" applyFont="1" applyAlignment="1">
      <alignment horizontal="left"/>
    </xf>
    <xf numFmtId="0" fontId="34" fillId="30" borderId="0" xfId="177" applyFont="1" applyFill="1"/>
    <xf numFmtId="0" fontId="34" fillId="30" borderId="0" xfId="177" applyFont="1" applyFill="1" applyAlignment="1">
      <alignment horizontal="right"/>
    </xf>
    <xf numFmtId="0" fontId="63" fillId="30" borderId="0" xfId="177" applyFont="1" applyFill="1" applyAlignment="1">
      <alignment horizontal="right"/>
    </xf>
    <xf numFmtId="0" fontId="64" fillId="30" borderId="0" xfId="177" applyFont="1" applyFill="1" applyAlignment="1">
      <alignment horizontal="left"/>
    </xf>
    <xf numFmtId="0" fontId="63" fillId="30" borderId="0" xfId="177" applyFont="1" applyFill="1"/>
    <xf numFmtId="0" fontId="34" fillId="0" borderId="0" xfId="177" applyFont="1"/>
    <xf numFmtId="0" fontId="34" fillId="0" borderId="0" xfId="177" applyFont="1" applyAlignment="1">
      <alignment horizontal="right"/>
    </xf>
    <xf numFmtId="14" fontId="34" fillId="0" borderId="0" xfId="177" applyNumberFormat="1" applyFont="1"/>
    <xf numFmtId="0" fontId="63" fillId="0" borderId="0" xfId="177" applyFont="1"/>
    <xf numFmtId="11" fontId="66" fillId="30" borderId="0" xfId="177" applyNumberFormat="1" applyFont="1" applyFill="1"/>
    <xf numFmtId="168" fontId="63" fillId="0" borderId="0" xfId="177" applyNumberFormat="1" applyFont="1"/>
    <xf numFmtId="168" fontId="34" fillId="0" borderId="0" xfId="177" applyNumberFormat="1" applyFont="1"/>
    <xf numFmtId="10" fontId="66" fillId="30" borderId="0" xfId="177" applyNumberFormat="1" applyFont="1" applyFill="1"/>
    <xf numFmtId="168" fontId="63" fillId="0" borderId="0" xfId="144" applyNumberFormat="1" applyFont="1"/>
    <xf numFmtId="8" fontId="34" fillId="0" borderId="0" xfId="177" applyNumberFormat="1" applyFont="1"/>
    <xf numFmtId="0" fontId="67" fillId="30" borderId="0" xfId="177" applyFont="1" applyFill="1" applyAlignment="1">
      <alignment horizontal="right"/>
    </xf>
    <xf numFmtId="0" fontId="34" fillId="0" borderId="0" xfId="0" applyFont="1"/>
    <xf numFmtId="0" fontId="89" fillId="50" borderId="0" xfId="0" applyFont="1" applyFill="1"/>
    <xf numFmtId="0" fontId="34" fillId="0" borderId="0" xfId="0" applyFont="1" applyBorder="1"/>
    <xf numFmtId="0" fontId="34" fillId="0" borderId="12" xfId="0" applyFont="1" applyBorder="1"/>
    <xf numFmtId="0" fontId="34" fillId="0" borderId="0" xfId="0" applyFont="1" applyBorder="1" applyAlignment="1">
      <alignment horizontal="center"/>
    </xf>
    <xf numFmtId="0" fontId="87" fillId="30" borderId="0" xfId="177" applyFont="1" applyFill="1" applyBorder="1" applyAlignment="1">
      <alignment horizontal="center"/>
    </xf>
    <xf numFmtId="9" fontId="87" fillId="30" borderId="0" xfId="144" applyNumberFormat="1" applyFont="1" applyFill="1" applyBorder="1" applyAlignment="1">
      <alignment horizontal="center"/>
    </xf>
    <xf numFmtId="164" fontId="87" fillId="30" borderId="0" xfId="144" applyNumberFormat="1" applyFont="1" applyFill="1" applyBorder="1" applyAlignment="1">
      <alignment horizontal="center"/>
    </xf>
    <xf numFmtId="0" fontId="34" fillId="0" borderId="12" xfId="0" applyFont="1" applyBorder="1" applyAlignment="1">
      <alignment horizontal="center"/>
    </xf>
    <xf numFmtId="0" fontId="51" fillId="0" borderId="12" xfId="0" applyFont="1" applyBorder="1" applyAlignment="1">
      <alignment horizontal="right"/>
    </xf>
    <xf numFmtId="0" fontId="46" fillId="0" borderId="0" xfId="0" applyFont="1"/>
    <xf numFmtId="168" fontId="46" fillId="0" borderId="0" xfId="144" applyNumberFormat="1" applyFont="1"/>
    <xf numFmtId="168" fontId="34" fillId="0" borderId="0" xfId="177" applyNumberFormat="1" applyFont="1" applyAlignment="1">
      <alignment horizontal="right"/>
    </xf>
    <xf numFmtId="0" fontId="34" fillId="0" borderId="12" xfId="0" applyFont="1" applyBorder="1" applyAlignment="1">
      <alignment horizontal="right"/>
    </xf>
    <xf numFmtId="0" fontId="46" fillId="0" borderId="0" xfId="177" applyFont="1" applyAlignment="1">
      <alignment horizontal="left"/>
    </xf>
    <xf numFmtId="0" fontId="91" fillId="30" borderId="0" xfId="177" applyFont="1" applyFill="1"/>
    <xf numFmtId="166" fontId="63" fillId="0" borderId="0" xfId="131" applyNumberFormat="1" applyFont="1" applyFill="1" applyAlignment="1">
      <alignment horizontal="right"/>
    </xf>
    <xf numFmtId="0" fontId="7" fillId="0" borderId="0" xfId="0" applyFont="1" applyAlignment="1">
      <alignment horizontal="center"/>
    </xf>
    <xf numFmtId="0" fontId="48" fillId="0" borderId="11" xfId="131" applyFont="1" applyFill="1" applyBorder="1" applyAlignment="1">
      <alignment horizontal="right"/>
    </xf>
    <xf numFmtId="164" fontId="53" fillId="0" borderId="11" xfId="144" applyNumberFormat="1" applyFont="1" applyFill="1" applyBorder="1"/>
    <xf numFmtId="0" fontId="46" fillId="0" borderId="11" xfId="131" applyFont="1" applyFill="1" applyBorder="1"/>
    <xf numFmtId="0" fontId="46" fillId="0" borderId="0" xfId="131" applyFont="1" applyFill="1" applyAlignment="1">
      <alignment horizontal="right" vertical="top" wrapText="1"/>
    </xf>
    <xf numFmtId="0" fontId="46" fillId="0" borderId="0" xfId="131" applyFont="1" applyFill="1" applyAlignment="1">
      <alignment horizontal="right" wrapText="1"/>
    </xf>
    <xf numFmtId="0" fontId="34" fillId="0" borderId="12" xfId="131" applyFill="1" applyBorder="1" applyAlignment="1">
      <alignment horizontal="left"/>
    </xf>
    <xf numFmtId="0" fontId="51" fillId="0" borderId="12" xfId="131" applyFont="1" applyFill="1" applyBorder="1" applyAlignment="1">
      <alignment horizontal="right" wrapText="1"/>
    </xf>
    <xf numFmtId="0" fontId="51" fillId="0" borderId="12" xfId="131" applyFont="1" applyFill="1" applyBorder="1" applyAlignment="1">
      <alignment horizontal="right"/>
    </xf>
    <xf numFmtId="0" fontId="34" fillId="0" borderId="0" xfId="131" applyFill="1" applyBorder="1" applyAlignment="1">
      <alignment horizontal="left"/>
    </xf>
    <xf numFmtId="0" fontId="48" fillId="0" borderId="0" xfId="131" applyFont="1" applyFill="1" applyBorder="1" applyAlignment="1">
      <alignment horizontal="right" wrapText="1"/>
    </xf>
    <xf numFmtId="0" fontId="48" fillId="0" borderId="0" xfId="131" applyFont="1" applyFill="1" applyBorder="1" applyAlignment="1">
      <alignment horizontal="right"/>
    </xf>
    <xf numFmtId="0" fontId="7" fillId="0" borderId="0" xfId="131" applyFont="1" applyFill="1" applyBorder="1" applyAlignment="1">
      <alignment horizontal="left"/>
    </xf>
    <xf numFmtId="0" fontId="34" fillId="0" borderId="12" xfId="131" applyFont="1" applyFill="1" applyBorder="1" applyAlignment="1">
      <alignment horizontal="left"/>
    </xf>
    <xf numFmtId="167" fontId="7" fillId="0" borderId="12" xfId="131" applyNumberFormat="1" applyFont="1" applyFill="1" applyBorder="1" applyAlignment="1">
      <alignment horizontal="right"/>
    </xf>
    <xf numFmtId="0" fontId="46" fillId="0" borderId="0" xfId="131" applyFont="1" applyFill="1" applyBorder="1" applyAlignment="1">
      <alignment horizontal="left"/>
    </xf>
    <xf numFmtId="0" fontId="46" fillId="0" borderId="0" xfId="131" applyFont="1" applyFill="1" applyBorder="1" applyAlignment="1">
      <alignment horizontal="right"/>
    </xf>
    <xf numFmtId="166" fontId="53" fillId="0" borderId="0" xfId="131" applyNumberFormat="1" applyFont="1" applyFill="1" applyBorder="1"/>
    <xf numFmtId="167" fontId="52" fillId="0" borderId="0" xfId="131" applyNumberFormat="1" applyFont="1" applyFill="1" applyBorder="1"/>
    <xf numFmtId="0" fontId="46" fillId="0" borderId="0" xfId="131" applyFont="1" applyFill="1" applyBorder="1"/>
    <xf numFmtId="0" fontId="92" fillId="0" borderId="0" xfId="131" applyFont="1" applyAlignment="1">
      <alignment horizontal="right"/>
    </xf>
    <xf numFmtId="168" fontId="92" fillId="0" borderId="0" xfId="131" applyNumberFormat="1" applyFont="1"/>
    <xf numFmtId="0" fontId="48" fillId="0" borderId="0" xfId="131" applyFont="1" applyFill="1" applyAlignment="1">
      <alignment horizontal="right"/>
    </xf>
    <xf numFmtId="0" fontId="34" fillId="0" borderId="0" xfId="131" applyFill="1" applyBorder="1"/>
    <xf numFmtId="0" fontId="7" fillId="0" borderId="0" xfId="0" applyFont="1"/>
    <xf numFmtId="0" fontId="114" fillId="50" borderId="0" xfId="0" applyFont="1" applyFill="1"/>
    <xf numFmtId="0" fontId="7" fillId="0" borderId="0" xfId="0" applyFont="1" applyBorder="1"/>
    <xf numFmtId="0" fontId="7" fillId="0" borderId="0" xfId="0" applyFont="1" applyBorder="1" applyAlignment="1">
      <alignment horizontal="center" wrapText="1"/>
    </xf>
    <xf numFmtId="0" fontId="114" fillId="0" borderId="0" xfId="0" applyFont="1" applyFill="1"/>
    <xf numFmtId="3" fontId="34" fillId="0" borderId="0" xfId="131" applyNumberFormat="1" applyFont="1" applyFill="1" applyAlignment="1">
      <alignment horizontal="right"/>
    </xf>
    <xf numFmtId="167" fontId="49" fillId="0" borderId="0" xfId="131" applyNumberFormat="1" applyFont="1" applyFill="1"/>
    <xf numFmtId="3" fontId="34" fillId="0" borderId="12" xfId="131" applyNumberFormat="1" applyFont="1" applyFill="1" applyBorder="1" applyAlignment="1">
      <alignment horizontal="right"/>
    </xf>
    <xf numFmtId="0" fontId="7" fillId="0" borderId="0" xfId="131" applyFont="1" applyFill="1"/>
    <xf numFmtId="164" fontId="34" fillId="0" borderId="0" xfId="131" applyNumberFormat="1" applyFill="1"/>
    <xf numFmtId="166" fontId="50" fillId="0" borderId="0" xfId="131" applyNumberFormat="1" applyFont="1" applyFill="1"/>
    <xf numFmtId="0" fontId="7" fillId="0" borderId="0" xfId="131" applyFont="1"/>
    <xf numFmtId="0" fontId="7" fillId="0" borderId="0" xfId="131" applyFont="1" applyFill="1" applyBorder="1"/>
    <xf numFmtId="0" fontId="34" fillId="0" borderId="0" xfId="131" applyNumberFormat="1" applyFill="1" applyAlignment="1">
      <alignment horizontal="right"/>
    </xf>
    <xf numFmtId="17" fontId="7" fillId="0" borderId="0" xfId="0" quotePrefix="1" applyNumberFormat="1" applyFont="1"/>
    <xf numFmtId="0" fontId="7" fillId="0" borderId="0" xfId="0" applyFont="1" applyAlignment="1">
      <alignment horizontal="left" indent="1"/>
    </xf>
    <xf numFmtId="0" fontId="7" fillId="0" borderId="0" xfId="0" applyFont="1" applyBorder="1" applyAlignment="1">
      <alignment horizontal="center"/>
    </xf>
    <xf numFmtId="0" fontId="46" fillId="0" borderId="0" xfId="0" applyFont="1" applyFill="1" applyBorder="1" applyAlignment="1">
      <alignment horizontal="center" wrapText="1"/>
    </xf>
    <xf numFmtId="0" fontId="46" fillId="0" borderId="0" xfId="37758" applyFont="1"/>
    <xf numFmtId="0" fontId="7" fillId="0" borderId="0" xfId="37758" applyFont="1"/>
    <xf numFmtId="0" fontId="7" fillId="0" borderId="0" xfId="37758" applyFont="1" applyAlignment="1">
      <alignment horizontal="center"/>
    </xf>
    <xf numFmtId="0" fontId="7" fillId="0" borderId="0" xfId="37758" applyFont="1" applyBorder="1"/>
    <xf numFmtId="0" fontId="46" fillId="0" borderId="0" xfId="0" applyFont="1" applyFill="1" applyBorder="1" applyAlignment="1">
      <alignment horizontal="center" wrapText="1"/>
    </xf>
    <xf numFmtId="0" fontId="7" fillId="0" borderId="0" xfId="37758" applyFont="1" applyFill="1" applyBorder="1" applyAlignment="1">
      <alignment vertical="center"/>
    </xf>
    <xf numFmtId="0" fontId="46" fillId="0" borderId="0" xfId="0" applyFont="1" applyBorder="1" applyAlignment="1">
      <alignment horizontal="center"/>
    </xf>
    <xf numFmtId="0" fontId="7" fillId="0" borderId="0" xfId="37758" applyFont="1" applyBorder="1" applyAlignment="1">
      <alignment horizontal="center" wrapText="1"/>
    </xf>
    <xf numFmtId="0" fontId="7" fillId="0" borderId="0" xfId="37758" applyFont="1" applyBorder="1" applyAlignment="1">
      <alignment horizontal="center"/>
    </xf>
    <xf numFmtId="0" fontId="46" fillId="0" borderId="0" xfId="37758" applyFont="1" applyBorder="1"/>
    <xf numFmtId="3" fontId="7" fillId="0" borderId="0" xfId="37759" applyNumberFormat="1" applyFont="1" applyFill="1" applyBorder="1" applyAlignment="1">
      <alignment horizontal="right" wrapText="1" indent="1"/>
    </xf>
    <xf numFmtId="0" fontId="7" fillId="0" borderId="0" xfId="37758" quotePrefix="1" applyFont="1" applyBorder="1" applyAlignment="1">
      <alignment horizontal="center"/>
    </xf>
    <xf numFmtId="3" fontId="7" fillId="0" borderId="0" xfId="37758" applyNumberFormat="1" applyFont="1" applyFill="1" applyBorder="1" applyAlignment="1">
      <alignment horizontal="center" wrapText="1"/>
    </xf>
    <xf numFmtId="0" fontId="0" fillId="0" borderId="11" xfId="0" applyBorder="1"/>
    <xf numFmtId="0" fontId="7" fillId="0" borderId="12" xfId="37758" applyFont="1" applyFill="1" applyBorder="1" applyAlignment="1">
      <alignment vertical="center"/>
    </xf>
    <xf numFmtId="0" fontId="46" fillId="0" borderId="12" xfId="0" applyFont="1" applyFill="1" applyBorder="1" applyAlignment="1">
      <alignment horizontal="center" wrapText="1"/>
    </xf>
    <xf numFmtId="0" fontId="46" fillId="0" borderId="12" xfId="0" applyFont="1" applyBorder="1" applyAlignment="1">
      <alignment horizontal="center"/>
    </xf>
    <xf numFmtId="0" fontId="7" fillId="0" borderId="0" xfId="37758" applyFont="1" applyBorder="1" applyAlignment="1">
      <alignment horizontal="left" indent="1"/>
    </xf>
    <xf numFmtId="0" fontId="7" fillId="0" borderId="12" xfId="37758" applyFont="1" applyBorder="1"/>
    <xf numFmtId="0" fontId="7" fillId="0" borderId="12" xfId="37758" applyFont="1" applyBorder="1" applyAlignment="1">
      <alignment horizontal="center"/>
    </xf>
    <xf numFmtId="0" fontId="7" fillId="0" borderId="0" xfId="37758" applyFont="1" applyBorder="1" applyAlignment="1">
      <alignment horizontal="left" wrapText="1" indent="1"/>
    </xf>
    <xf numFmtId="0" fontId="46" fillId="0" borderId="0" xfId="0" applyFont="1" applyFill="1" applyBorder="1" applyAlignment="1">
      <alignment horizontal="center" wrapText="1"/>
    </xf>
    <xf numFmtId="0" fontId="7" fillId="0" borderId="0" xfId="0" applyFont="1" applyBorder="1" applyAlignment="1"/>
    <xf numFmtId="0" fontId="7" fillId="0" borderId="0" xfId="37758" applyFont="1" applyFill="1" applyBorder="1" applyAlignment="1">
      <alignment horizontal="left" indent="1"/>
    </xf>
    <xf numFmtId="0" fontId="46" fillId="0" borderId="0" xfId="0" applyFont="1" applyBorder="1" applyAlignment="1">
      <alignment horizontal="left"/>
    </xf>
    <xf numFmtId="0" fontId="46" fillId="0" borderId="11" xfId="37758" applyFont="1" applyBorder="1"/>
    <xf numFmtId="3" fontId="7" fillId="0" borderId="11" xfId="37758" applyNumberFormat="1" applyFont="1" applyFill="1" applyBorder="1" applyAlignment="1">
      <alignment horizontal="center" wrapText="1"/>
    </xf>
    <xf numFmtId="0" fontId="7" fillId="0" borderId="11" xfId="37758" applyFont="1" applyBorder="1" applyAlignment="1">
      <alignment horizontal="center"/>
    </xf>
    <xf numFmtId="0" fontId="90" fillId="0" borderId="0" xfId="0" applyFont="1" applyBorder="1" applyAlignment="1">
      <alignment horizontal="left" vertical="top" wrapText="1"/>
    </xf>
    <xf numFmtId="0" fontId="7" fillId="0" borderId="0" xfId="37758" applyFont="1" applyBorder="1" applyAlignment="1"/>
    <xf numFmtId="0" fontId="7" fillId="0" borderId="0" xfId="0" applyFont="1" applyFill="1" applyBorder="1" applyAlignment="1">
      <alignment horizontal="left" vertical="top" wrapText="1"/>
    </xf>
    <xf numFmtId="0" fontId="7" fillId="0" borderId="0" xfId="37758" applyFont="1" applyBorder="1" applyAlignment="1">
      <alignment horizontal="left" vertical="top" wrapText="1"/>
    </xf>
    <xf numFmtId="0" fontId="7" fillId="0" borderId="0" xfId="37758" quotePrefix="1" applyFont="1" applyBorder="1" applyAlignment="1">
      <alignment horizontal="left" vertical="top" wrapText="1"/>
    </xf>
    <xf numFmtId="0" fontId="7" fillId="0" borderId="0" xfId="37758" applyFont="1" applyBorder="1" applyAlignment="1">
      <alignment horizontal="left" vertical="top"/>
    </xf>
    <xf numFmtId="0" fontId="7" fillId="0" borderId="0" xfId="0" applyFont="1" applyBorder="1" applyAlignment="1">
      <alignment horizontal="left" vertical="top" wrapText="1" indent="1"/>
    </xf>
    <xf numFmtId="0" fontId="46" fillId="0" borderId="0" xfId="0" applyFont="1" applyBorder="1"/>
    <xf numFmtId="0" fontId="46" fillId="0" borderId="11" xfId="0" applyFont="1" applyBorder="1"/>
    <xf numFmtId="0" fontId="7" fillId="0" borderId="11" xfId="0" applyFont="1" applyBorder="1"/>
    <xf numFmtId="0" fontId="0" fillId="0" borderId="0" xfId="0" applyAlignment="1"/>
    <xf numFmtId="0" fontId="0" fillId="0" borderId="11" xfId="0" applyBorder="1" applyAlignment="1"/>
    <xf numFmtId="0" fontId="7" fillId="0" borderId="12" xfId="37758" applyFont="1" applyBorder="1" applyAlignment="1"/>
    <xf numFmtId="0" fontId="7" fillId="0" borderId="11" xfId="37758" applyFont="1" applyBorder="1" applyAlignment="1"/>
    <xf numFmtId="0" fontId="7" fillId="0" borderId="0" xfId="37758" applyFont="1" applyAlignment="1"/>
    <xf numFmtId="167" fontId="63" fillId="0" borderId="0" xfId="0" applyNumberFormat="1" applyFont="1" applyFill="1" applyBorder="1" applyAlignment="1">
      <alignment horizontal="center"/>
    </xf>
    <xf numFmtId="167" fontId="63" fillId="0" borderId="0" xfId="0" applyNumberFormat="1" applyFont="1" applyAlignment="1">
      <alignment horizontal="center"/>
    </xf>
    <xf numFmtId="0" fontId="7" fillId="0" borderId="0" xfId="0" applyFont="1" applyBorder="1" applyAlignment="1">
      <alignment horizontal="center" vertical="top"/>
    </xf>
    <xf numFmtId="168" fontId="7" fillId="0" borderId="0" xfId="0" applyNumberFormat="1" applyFont="1" applyBorder="1" applyAlignment="1">
      <alignment horizontal="center" vertical="top" wrapText="1"/>
    </xf>
    <xf numFmtId="0" fontId="46" fillId="0" borderId="0" xfId="0" applyFont="1" applyBorder="1" applyAlignment="1">
      <alignment horizontal="left" vertical="center"/>
    </xf>
    <xf numFmtId="164" fontId="117" fillId="0" borderId="0" xfId="144" applyNumberFormat="1" applyFont="1" applyFill="1" applyAlignment="1">
      <alignment horizontal="center"/>
    </xf>
    <xf numFmtId="0" fontId="46" fillId="0" borderId="0" xfId="0" applyFont="1" applyFill="1" applyBorder="1" applyAlignment="1">
      <alignment horizontal="center" vertical="center" wrapText="1"/>
    </xf>
    <xf numFmtId="0" fontId="7" fillId="0" borderId="0" xfId="37761" applyFont="1" applyAlignment="1">
      <alignment horizontal="center"/>
    </xf>
    <xf numFmtId="0" fontId="7" fillId="0" borderId="0" xfId="37761" applyFont="1"/>
    <xf numFmtId="0" fontId="46" fillId="0" borderId="0" xfId="37761" applyFont="1" applyFill="1" applyBorder="1" applyAlignment="1">
      <alignment horizontal="center" wrapText="1"/>
    </xf>
    <xf numFmtId="0" fontId="46" fillId="0" borderId="0" xfId="37761" applyFont="1" applyBorder="1"/>
    <xf numFmtId="0" fontId="7" fillId="0" borderId="0" xfId="37761" applyFont="1" applyBorder="1"/>
    <xf numFmtId="4" fontId="7" fillId="0" borderId="0" xfId="37761" applyNumberFormat="1" applyFont="1" applyBorder="1" applyAlignment="1">
      <alignment horizontal="center" wrapText="1"/>
    </xf>
    <xf numFmtId="0" fontId="7" fillId="0" borderId="0" xfId="37761" applyFont="1" applyFill="1" applyBorder="1"/>
    <xf numFmtId="0" fontId="7" fillId="0" borderId="0" xfId="37761" applyFont="1" applyBorder="1" applyAlignment="1">
      <alignment horizontal="left"/>
    </xf>
    <xf numFmtId="3" fontId="7" fillId="0" borderId="0" xfId="37761" applyNumberFormat="1" applyFont="1" applyBorder="1" applyAlignment="1">
      <alignment horizontal="center"/>
    </xf>
    <xf numFmtId="3" fontId="7" fillId="0" borderId="0" xfId="37761" applyNumberFormat="1" applyFont="1" applyBorder="1" applyAlignment="1">
      <alignment horizontal="center" wrapText="1"/>
    </xf>
    <xf numFmtId="3" fontId="7" fillId="0" borderId="0" xfId="37761" applyNumberFormat="1" applyFont="1" applyFill="1" applyBorder="1" applyAlignment="1">
      <alignment horizontal="center"/>
    </xf>
    <xf numFmtId="3" fontId="49" fillId="0" borderId="0" xfId="37761" applyNumberFormat="1" applyFont="1" applyFill="1" applyBorder="1" applyAlignment="1">
      <alignment horizontal="center" wrapText="1"/>
    </xf>
    <xf numFmtId="0" fontId="46" fillId="0" borderId="0" xfId="37761" applyFont="1" applyBorder="1" applyAlignment="1">
      <alignment horizontal="left"/>
    </xf>
    <xf numFmtId="0" fontId="46" fillId="0" borderId="0" xfId="37761" applyFont="1" applyFill="1" applyBorder="1"/>
    <xf numFmtId="0" fontId="46" fillId="0" borderId="0" xfId="37761" applyFont="1" applyBorder="1" applyAlignment="1">
      <alignment horizontal="center" wrapText="1"/>
    </xf>
    <xf numFmtId="3" fontId="49" fillId="0" borderId="0" xfId="37761" applyNumberFormat="1" applyFont="1" applyBorder="1" applyAlignment="1">
      <alignment horizontal="center"/>
    </xf>
    <xf numFmtId="0" fontId="7" fillId="0" borderId="0" xfId="37761" applyFont="1" applyBorder="1" applyAlignment="1">
      <alignment horizontal="left" wrapText="1"/>
    </xf>
    <xf numFmtId="4" fontId="46" fillId="0" borderId="0" xfId="37761" applyNumberFormat="1" applyFont="1" applyBorder="1" applyAlignment="1">
      <alignment horizontal="center"/>
    </xf>
    <xf numFmtId="4" fontId="49" fillId="0" borderId="0" xfId="37761" applyNumberFormat="1" applyFont="1" applyBorder="1" applyAlignment="1">
      <alignment horizontal="center"/>
    </xf>
    <xf numFmtId="4" fontId="49" fillId="0" borderId="0" xfId="37761" applyNumberFormat="1" applyFont="1" applyFill="1" applyBorder="1" applyAlignment="1">
      <alignment horizontal="center"/>
    </xf>
    <xf numFmtId="0" fontId="7" fillId="0" borderId="0" xfId="37761" applyFont="1" applyBorder="1" applyAlignment="1">
      <alignment horizontal="center"/>
    </xf>
    <xf numFmtId="0" fontId="7" fillId="0" borderId="0" xfId="37761" applyFont="1" applyFill="1" applyBorder="1" applyAlignment="1">
      <alignment horizontal="center"/>
    </xf>
    <xf numFmtId="0" fontId="7" fillId="0" borderId="0" xfId="37761" applyFont="1" applyFill="1"/>
    <xf numFmtId="0" fontId="7" fillId="0" borderId="0" xfId="37761" applyFont="1" applyAlignment="1">
      <alignment horizontal="left"/>
    </xf>
    <xf numFmtId="0" fontId="116" fillId="0" borderId="0" xfId="37760" applyFont="1" applyBorder="1" applyAlignment="1"/>
    <xf numFmtId="0" fontId="7" fillId="0" borderId="0" xfId="37761" applyFont="1" applyFill="1" applyAlignment="1">
      <alignment horizontal="center"/>
    </xf>
    <xf numFmtId="0" fontId="7" fillId="0" borderId="11" xfId="37761" applyFont="1" applyBorder="1"/>
    <xf numFmtId="0" fontId="7" fillId="0" borderId="11" xfId="37761" applyFont="1" applyBorder="1" applyAlignment="1">
      <alignment horizontal="center"/>
    </xf>
    <xf numFmtId="0" fontId="46" fillId="0" borderId="12" xfId="37761" applyFont="1" applyBorder="1"/>
    <xf numFmtId="0" fontId="46" fillId="0" borderId="12" xfId="37761" applyFont="1" applyFill="1" applyBorder="1" applyAlignment="1">
      <alignment horizontal="center" wrapText="1"/>
    </xf>
    <xf numFmtId="0" fontId="46" fillId="0" borderId="12" xfId="37761" applyFont="1" applyBorder="1" applyAlignment="1">
      <alignment horizontal="center"/>
    </xf>
    <xf numFmtId="0" fontId="46" fillId="0" borderId="0" xfId="37761" applyFont="1" applyFill="1" applyBorder="1" applyAlignment="1">
      <alignment horizontal="center" vertical="center" wrapText="1"/>
    </xf>
    <xf numFmtId="0" fontId="51" fillId="0" borderId="0" xfId="37758" applyFont="1" applyBorder="1"/>
    <xf numFmtId="0" fontId="7" fillId="0" borderId="0" xfId="0" applyFont="1" applyBorder="1" applyAlignment="1">
      <alignment horizontal="left" indent="1"/>
    </xf>
    <xf numFmtId="0" fontId="7" fillId="0" borderId="0" xfId="0" applyFont="1" applyBorder="1" applyAlignment="1">
      <alignment horizontal="left" vertical="top" wrapText="1" indent="2"/>
    </xf>
    <xf numFmtId="0" fontId="7" fillId="0" borderId="0" xfId="0" applyFont="1" applyBorder="1" applyAlignment="1">
      <alignment horizontal="left" wrapText="1" indent="2"/>
    </xf>
    <xf numFmtId="0" fontId="7" fillId="0" borderId="0" xfId="37761" applyFont="1" applyFill="1" applyBorder="1" applyAlignment="1">
      <alignment horizontal="left" indent="1"/>
    </xf>
    <xf numFmtId="0" fontId="7" fillId="0" borderId="0" xfId="37761" applyFont="1" applyFill="1" applyBorder="1" applyAlignment="1">
      <alignment horizontal="left" wrapText="1" indent="1"/>
    </xf>
    <xf numFmtId="0" fontId="7" fillId="0" borderId="11" xfId="37761" applyFont="1" applyFill="1" applyBorder="1"/>
    <xf numFmtId="3" fontId="7" fillId="0" borderId="11" xfId="37761" applyNumberFormat="1" applyFont="1" applyBorder="1" applyAlignment="1">
      <alignment horizontal="center"/>
    </xf>
    <xf numFmtId="3" fontId="7" fillId="0" borderId="11" xfId="37761" applyNumberFormat="1" applyFont="1" applyFill="1" applyBorder="1" applyAlignment="1">
      <alignment horizontal="center"/>
    </xf>
    <xf numFmtId="0" fontId="7" fillId="0" borderId="11" xfId="37761" applyFont="1" applyBorder="1" applyAlignment="1">
      <alignment horizontal="left"/>
    </xf>
    <xf numFmtId="0" fontId="7" fillId="0" borderId="12" xfId="0" applyFont="1" applyBorder="1" applyAlignment="1">
      <alignment horizontal="center" vertical="top"/>
    </xf>
    <xf numFmtId="0" fontId="7" fillId="0" borderId="12" xfId="0" applyFont="1" applyBorder="1" applyAlignment="1">
      <alignment horizontal="left" indent="1"/>
    </xf>
    <xf numFmtId="164" fontId="117" fillId="0" borderId="12" xfId="144" applyNumberFormat="1" applyFont="1" applyFill="1" applyBorder="1" applyAlignment="1">
      <alignment horizontal="center"/>
    </xf>
    <xf numFmtId="0" fontId="7" fillId="0" borderId="12" xfId="37761" applyFont="1" applyFill="1" applyBorder="1"/>
    <xf numFmtId="4" fontId="46" fillId="0" borderId="12" xfId="37761" applyNumberFormat="1" applyFont="1" applyBorder="1" applyAlignment="1">
      <alignment horizontal="center"/>
    </xf>
    <xf numFmtId="0" fontId="7" fillId="0" borderId="12" xfId="37761" applyFont="1" applyBorder="1" applyAlignment="1">
      <alignment horizontal="left"/>
    </xf>
    <xf numFmtId="0" fontId="7" fillId="0" borderId="12" xfId="0" applyFont="1" applyBorder="1"/>
    <xf numFmtId="0" fontId="51" fillId="0" borderId="0" xfId="37758" applyFont="1" applyBorder="1" applyAlignment="1">
      <alignment horizontal="left"/>
    </xf>
    <xf numFmtId="3" fontId="63" fillId="0" borderId="0" xfId="37759" applyNumberFormat="1" applyFont="1" applyFill="1" applyBorder="1" applyAlignment="1">
      <alignment horizontal="right" wrapText="1" indent="1"/>
    </xf>
    <xf numFmtId="3" fontId="7" fillId="0" borderId="12" xfId="37758" applyNumberFormat="1" applyFont="1" applyBorder="1" applyAlignment="1">
      <alignment horizontal="right" wrapText="1" indent="1"/>
    </xf>
    <xf numFmtId="3" fontId="7" fillId="0" borderId="0" xfId="37758" applyNumberFormat="1" applyFont="1" applyBorder="1" applyAlignment="1">
      <alignment horizontal="right" wrapText="1" indent="1"/>
    </xf>
    <xf numFmtId="3" fontId="7" fillId="0" borderId="0" xfId="37758" applyNumberFormat="1" applyFont="1" applyFill="1" applyBorder="1" applyAlignment="1">
      <alignment horizontal="right" wrapText="1" indent="1"/>
    </xf>
    <xf numFmtId="3" fontId="63" fillId="0" borderId="0" xfId="37758" applyNumberFormat="1" applyFont="1" applyBorder="1" applyAlignment="1">
      <alignment horizontal="right" wrapText="1" indent="1"/>
    </xf>
    <xf numFmtId="0" fontId="7" fillId="0" borderId="0" xfId="37758" applyFont="1" applyFill="1" applyBorder="1" applyAlignment="1">
      <alignment horizontal="left" vertical="top"/>
    </xf>
    <xf numFmtId="3" fontId="63" fillId="0" borderId="0" xfId="37761" applyNumberFormat="1" applyFont="1" applyBorder="1" applyAlignment="1">
      <alignment horizontal="right" indent="1"/>
    </xf>
    <xf numFmtId="3" fontId="63" fillId="0" borderId="0" xfId="37761" applyNumberFormat="1" applyFont="1" applyFill="1" applyBorder="1" applyAlignment="1">
      <alignment horizontal="right" indent="1"/>
    </xf>
    <xf numFmtId="3" fontId="7" fillId="0" borderId="0" xfId="37761" applyNumberFormat="1" applyFont="1" applyBorder="1" applyAlignment="1">
      <alignment horizontal="right" indent="1"/>
    </xf>
    <xf numFmtId="3" fontId="7" fillId="0" borderId="0" xfId="37761" applyNumberFormat="1" applyFont="1" applyFill="1" applyBorder="1" applyAlignment="1">
      <alignment horizontal="right" indent="1"/>
    </xf>
    <xf numFmtId="4" fontId="7" fillId="0" borderId="0" xfId="37761" applyNumberFormat="1" applyFont="1" applyFill="1" applyBorder="1" applyAlignment="1">
      <alignment horizontal="right" indent="1"/>
    </xf>
    <xf numFmtId="0" fontId="51" fillId="0" borderId="0" xfId="37761" applyFont="1" applyFill="1" applyBorder="1" applyAlignment="1">
      <alignment horizontal="left"/>
    </xf>
    <xf numFmtId="0" fontId="51" fillId="0" borderId="0" xfId="37761" applyFont="1" applyFill="1" applyBorder="1"/>
    <xf numFmtId="4" fontId="63" fillId="0" borderId="0" xfId="37761" applyNumberFormat="1" applyFont="1" applyBorder="1" applyAlignment="1">
      <alignment horizontal="right" indent="1"/>
    </xf>
    <xf numFmtId="4" fontId="63" fillId="0" borderId="0" xfId="37761" applyNumberFormat="1" applyFont="1" applyFill="1" applyBorder="1" applyAlignment="1">
      <alignment horizontal="right" indent="1"/>
    </xf>
    <xf numFmtId="4" fontId="63" fillId="0" borderId="12" xfId="37761" applyNumberFormat="1" applyFont="1" applyBorder="1" applyAlignment="1">
      <alignment horizontal="right" indent="1"/>
    </xf>
    <xf numFmtId="4" fontId="63" fillId="0" borderId="12" xfId="37761" applyNumberFormat="1" applyFont="1" applyFill="1" applyBorder="1" applyAlignment="1">
      <alignment horizontal="right" indent="1"/>
    </xf>
    <xf numFmtId="0" fontId="7" fillId="0" borderId="0" xfId="0" applyFont="1" applyAlignment="1">
      <alignment horizontal="right"/>
    </xf>
    <xf numFmtId="0" fontId="46" fillId="0" borderId="0" xfId="0" applyFont="1" applyBorder="1" applyAlignment="1">
      <alignment horizontal="center" vertical="center"/>
    </xf>
    <xf numFmtId="0" fontId="7" fillId="78" borderId="0" xfId="37761" applyFont="1" applyFill="1"/>
    <xf numFmtId="0" fontId="7" fillId="78" borderId="0" xfId="37761" applyFont="1" applyFill="1" applyAlignment="1">
      <alignment horizontal="center"/>
    </xf>
    <xf numFmtId="0" fontId="92" fillId="0" borderId="0" xfId="131" applyFont="1" applyFill="1"/>
    <xf numFmtId="0" fontId="7" fillId="30" borderId="0" xfId="177" applyFont="1" applyFill="1" applyAlignment="1">
      <alignment horizontal="right"/>
    </xf>
    <xf numFmtId="0" fontId="7" fillId="30" borderId="0" xfId="177" applyFont="1" applyFill="1"/>
    <xf numFmtId="0" fontId="0" fillId="78" borderId="0" xfId="0" applyFill="1"/>
    <xf numFmtId="0" fontId="0" fillId="78" borderId="0" xfId="0" applyFill="1" applyAlignment="1"/>
    <xf numFmtId="0" fontId="8" fillId="78" borderId="0" xfId="0" applyFont="1" applyFill="1"/>
    <xf numFmtId="10" fontId="120" fillId="0" borderId="0" xfId="144" applyNumberFormat="1" applyFont="1"/>
    <xf numFmtId="0" fontId="7" fillId="0" borderId="0" xfId="0" applyFont="1" applyFill="1" applyBorder="1" applyAlignment="1">
      <alignment horizontal="left" vertical="center" wrapText="1"/>
    </xf>
    <xf numFmtId="0" fontId="121" fillId="0" borderId="0" xfId="17981" applyFont="1"/>
    <xf numFmtId="0" fontId="123" fillId="0" borderId="0" xfId="17981" applyFont="1" applyAlignment="1">
      <alignment horizontal="center"/>
    </xf>
    <xf numFmtId="0" fontId="123" fillId="0" borderId="0" xfId="17981" applyFont="1" applyBorder="1" applyAlignment="1">
      <alignment horizontal="center"/>
    </xf>
    <xf numFmtId="0" fontId="121" fillId="0" borderId="12" xfId="17981" applyFont="1" applyBorder="1"/>
    <xf numFmtId="0" fontId="121" fillId="0" borderId="11" xfId="17981" applyFont="1" applyBorder="1"/>
    <xf numFmtId="0" fontId="7" fillId="0" borderId="0" xfId="0" applyFont="1" applyAlignment="1">
      <alignment horizontal="left"/>
    </xf>
    <xf numFmtId="14" fontId="7" fillId="0" borderId="0" xfId="0" applyNumberFormat="1" applyFont="1" applyAlignment="1">
      <alignment horizontal="left"/>
    </xf>
    <xf numFmtId="0" fontId="7" fillId="0" borderId="0" xfId="0" applyFont="1" applyFill="1" applyAlignment="1">
      <alignment horizontal="center"/>
    </xf>
    <xf numFmtId="0" fontId="7" fillId="0" borderId="0" xfId="0" applyFont="1" applyFill="1"/>
    <xf numFmtId="0" fontId="63" fillId="0" borderId="0" xfId="0" applyFont="1" applyFill="1" applyAlignment="1">
      <alignment horizontal="right"/>
    </xf>
    <xf numFmtId="0" fontId="62" fillId="0" borderId="0" xfId="131" applyFont="1" applyFill="1"/>
    <xf numFmtId="0" fontId="122" fillId="0" borderId="0" xfId="17981" applyFont="1" applyAlignment="1">
      <alignment horizontal="center" vertical="top" wrapText="1"/>
    </xf>
    <xf numFmtId="0" fontId="122" fillId="0" borderId="0" xfId="17981" applyFont="1" applyAlignment="1">
      <alignment vertical="top" wrapText="1"/>
    </xf>
    <xf numFmtId="0" fontId="121" fillId="0" borderId="0" xfId="17981" applyFont="1" applyAlignment="1"/>
    <xf numFmtId="174" fontId="121" fillId="0" borderId="0" xfId="17981" applyNumberFormat="1" applyFont="1"/>
    <xf numFmtId="0" fontId="7" fillId="79" borderId="0" xfId="0" applyFont="1" applyFill="1"/>
    <xf numFmtId="0" fontId="7" fillId="79" borderId="11" xfId="0" applyFont="1" applyFill="1" applyBorder="1"/>
    <xf numFmtId="0" fontId="46" fillId="79" borderId="0" xfId="0" applyFont="1" applyFill="1"/>
    <xf numFmtId="0" fontId="46" fillId="79" borderId="0" xfId="0" applyFont="1" applyFill="1" applyAlignment="1">
      <alignment horizontal="center"/>
    </xf>
    <xf numFmtId="0" fontId="46" fillId="79" borderId="12" xfId="0" applyFont="1" applyFill="1" applyBorder="1"/>
    <xf numFmtId="0" fontId="46" fillId="79" borderId="12" xfId="0" applyFont="1" applyFill="1" applyBorder="1" applyAlignment="1">
      <alignment horizontal="center"/>
    </xf>
    <xf numFmtId="0" fontId="46" fillId="79" borderId="0" xfId="0" applyFont="1" applyFill="1" applyAlignment="1">
      <alignment horizontal="right" indent="1"/>
    </xf>
    <xf numFmtId="4" fontId="120" fillId="0" borderId="0" xfId="37758" applyNumberFormat="1" applyFont="1" applyBorder="1" applyAlignment="1">
      <alignment horizontal="right" indent="3"/>
    </xf>
    <xf numFmtId="0" fontId="46" fillId="0" borderId="0" xfId="37758" applyFont="1" applyBorder="1" applyAlignment="1">
      <alignment horizontal="center"/>
    </xf>
    <xf numFmtId="4" fontId="125" fillId="0" borderId="0" xfId="37758" applyNumberFormat="1" applyFont="1" applyBorder="1" applyAlignment="1">
      <alignment horizontal="right" indent="3"/>
    </xf>
    <xf numFmtId="0" fontId="124" fillId="0" borderId="0" xfId="0" applyFont="1"/>
    <xf numFmtId="0" fontId="7" fillId="0" borderId="0" xfId="37758" applyFont="1" applyBorder="1" applyAlignment="1">
      <alignment horizontal="right"/>
    </xf>
    <xf numFmtId="0" fontId="7" fillId="0" borderId="0" xfId="37758" quotePrefix="1" applyFont="1" applyBorder="1" applyAlignment="1">
      <alignment horizontal="right"/>
    </xf>
    <xf numFmtId="0" fontId="46" fillId="0" borderId="0" xfId="37758" applyFont="1" applyBorder="1" applyAlignment="1">
      <alignment horizontal="right"/>
    </xf>
    <xf numFmtId="0" fontId="7" fillId="0" borderId="12" xfId="37758" applyFont="1" applyBorder="1" applyAlignment="1">
      <alignment horizontal="right"/>
    </xf>
    <xf numFmtId="0" fontId="7" fillId="79" borderId="0" xfId="0" applyFont="1" applyFill="1" applyAlignment="1">
      <alignment horizontal="right"/>
    </xf>
    <xf numFmtId="164" fontId="53" fillId="0" borderId="0" xfId="144" applyNumberFormat="1" applyFont="1" applyFill="1" applyAlignment="1">
      <alignment horizontal="left" indent="1"/>
    </xf>
    <xf numFmtId="0" fontId="115" fillId="0" borderId="0" xfId="0" applyFont="1" applyFill="1" applyAlignment="1">
      <alignment horizontal="left"/>
    </xf>
    <xf numFmtId="0" fontId="117" fillId="79" borderId="25" xfId="0" applyFont="1" applyFill="1" applyBorder="1" applyAlignment="1">
      <alignment horizontal="center"/>
    </xf>
    <xf numFmtId="0" fontId="117" fillId="79" borderId="0" xfId="0" applyFont="1" applyFill="1" applyBorder="1" applyAlignment="1">
      <alignment horizontal="center"/>
    </xf>
    <xf numFmtId="0" fontId="7" fillId="79" borderId="0" xfId="0" applyFont="1" applyFill="1" applyBorder="1" applyAlignment="1">
      <alignment horizontal="right"/>
    </xf>
    <xf numFmtId="0" fontId="126" fillId="0" borderId="0" xfId="17981" applyFont="1" applyBorder="1" applyAlignment="1">
      <alignment horizontal="centerContinuous"/>
    </xf>
    <xf numFmtId="0" fontId="127" fillId="0" borderId="0" xfId="17981" applyFont="1" applyBorder="1" applyAlignment="1">
      <alignment horizontal="centerContinuous"/>
    </xf>
    <xf numFmtId="0" fontId="123" fillId="0" borderId="0" xfId="17981" applyFont="1"/>
    <xf numFmtId="0" fontId="121" fillId="0" borderId="0" xfId="17981" applyFont="1" applyAlignment="1">
      <alignment horizontal="left" indent="2"/>
    </xf>
    <xf numFmtId="168" fontId="7" fillId="0" borderId="0" xfId="131" applyNumberFormat="1" applyFont="1" applyFill="1" applyAlignment="1">
      <alignment horizontal="right"/>
    </xf>
    <xf numFmtId="0" fontId="7" fillId="0" borderId="0" xfId="177" applyFont="1"/>
    <xf numFmtId="0" fontId="7" fillId="78" borderId="0" xfId="0" applyFont="1" applyFill="1"/>
    <xf numFmtId="0" fontId="115" fillId="78" borderId="0" xfId="0" applyFont="1" applyFill="1"/>
    <xf numFmtId="0" fontId="7" fillId="78" borderId="0" xfId="0" applyFont="1" applyFill="1" applyAlignment="1">
      <alignment horizontal="right"/>
    </xf>
    <xf numFmtId="0" fontId="46" fillId="0" borderId="0" xfId="37758" applyFont="1" applyFill="1" applyBorder="1" applyAlignment="1">
      <alignment vertical="center"/>
    </xf>
    <xf numFmtId="0" fontId="46" fillId="0" borderId="0" xfId="37761" applyFont="1" applyBorder="1" applyAlignment="1">
      <alignment vertical="center"/>
    </xf>
    <xf numFmtId="0" fontId="114" fillId="78" borderId="0" xfId="0" applyFont="1" applyFill="1"/>
    <xf numFmtId="0" fontId="46" fillId="78" borderId="0" xfId="0" applyFont="1" applyFill="1"/>
    <xf numFmtId="0" fontId="117" fillId="78" borderId="0" xfId="0" applyFont="1" applyFill="1"/>
    <xf numFmtId="0" fontId="7" fillId="0" borderId="0" xfId="37758" quotePrefix="1" applyFont="1" applyFill="1" applyBorder="1" applyAlignment="1">
      <alignment horizontal="right" indent="1"/>
    </xf>
    <xf numFmtId="0" fontId="7" fillId="0" borderId="0" xfId="177" applyFont="1" applyAlignment="1">
      <alignment horizontal="left"/>
    </xf>
    <xf numFmtId="0" fontId="34" fillId="0" borderId="0" xfId="177" applyFont="1" applyAlignment="1">
      <alignment horizontal="left"/>
    </xf>
    <xf numFmtId="0" fontId="54" fillId="0" borderId="11" xfId="131" applyFont="1" applyBorder="1"/>
    <xf numFmtId="0" fontId="34" fillId="0" borderId="11" xfId="177" applyFont="1" applyBorder="1"/>
    <xf numFmtId="0" fontId="34" fillId="0" borderId="11" xfId="177" applyFont="1" applyBorder="1" applyAlignment="1">
      <alignment horizontal="right"/>
    </xf>
    <xf numFmtId="14" fontId="34" fillId="0" borderId="11" xfId="177" applyNumberFormat="1" applyFont="1" applyBorder="1"/>
    <xf numFmtId="0" fontId="46" fillId="0" borderId="12" xfId="177" applyFont="1" applyBorder="1" applyAlignment="1">
      <alignment horizontal="left"/>
    </xf>
    <xf numFmtId="0" fontId="34" fillId="0" borderId="12" xfId="177" applyFont="1" applyBorder="1" applyAlignment="1">
      <alignment horizontal="right"/>
    </xf>
    <xf numFmtId="0" fontId="34" fillId="0" borderId="12" xfId="177" applyFont="1" applyBorder="1"/>
    <xf numFmtId="0" fontId="121" fillId="0" borderId="12" xfId="177" applyFont="1" applyBorder="1"/>
    <xf numFmtId="168" fontId="63" fillId="0" borderId="12" xfId="177" applyNumberFormat="1" applyFont="1" applyBorder="1"/>
    <xf numFmtId="0" fontId="46" fillId="0" borderId="12" xfId="177" applyFont="1" applyBorder="1" applyAlignment="1">
      <alignment horizontal="right"/>
    </xf>
    <xf numFmtId="168" fontId="68" fillId="0" borderId="12" xfId="144" applyNumberFormat="1" applyFont="1" applyBorder="1"/>
    <xf numFmtId="0" fontId="46" fillId="0" borderId="11" xfId="177" applyFont="1" applyBorder="1" applyAlignment="1">
      <alignment horizontal="right"/>
    </xf>
    <xf numFmtId="168" fontId="68" fillId="0" borderId="11" xfId="177" applyNumberFormat="1" applyFont="1" applyBorder="1"/>
    <xf numFmtId="0" fontId="7" fillId="0" borderId="11" xfId="177" applyFont="1" applyBorder="1"/>
    <xf numFmtId="9" fontId="34" fillId="0" borderId="11" xfId="177" applyNumberFormat="1" applyFont="1" applyBorder="1"/>
    <xf numFmtId="0" fontId="7" fillId="0" borderId="12" xfId="177" applyFont="1" applyBorder="1" applyAlignment="1">
      <alignment horizontal="left"/>
    </xf>
    <xf numFmtId="0" fontId="7" fillId="0" borderId="0" xfId="37758" applyFont="1" applyBorder="1" applyAlignment="1">
      <alignment horizontal="left"/>
    </xf>
    <xf numFmtId="0" fontId="46" fillId="0" borderId="12" xfId="177" applyFont="1" applyBorder="1" applyAlignment="1">
      <alignment horizontal="center"/>
    </xf>
    <xf numFmtId="0" fontId="7" fillId="0" borderId="0" xfId="37758" applyFont="1" applyFill="1" applyBorder="1" applyAlignment="1">
      <alignment horizontal="left" vertical="top" wrapText="1"/>
    </xf>
    <xf numFmtId="0" fontId="7" fillId="0" borderId="0" xfId="0" applyFont="1" applyBorder="1" applyAlignment="1">
      <alignment horizontal="left" vertical="top" wrapText="1"/>
    </xf>
    <xf numFmtId="167" fontId="68" fillId="0" borderId="0" xfId="144" applyNumberFormat="1" applyFont="1" applyFill="1"/>
    <xf numFmtId="168" fontId="46" fillId="0" borderId="0" xfId="177" applyNumberFormat="1" applyFont="1" applyAlignment="1">
      <alignment horizontal="left"/>
    </xf>
    <xf numFmtId="0" fontId="46" fillId="0" borderId="0" xfId="0" applyFont="1" applyAlignment="1">
      <alignment horizontal="left"/>
    </xf>
    <xf numFmtId="0" fontId="51" fillId="0" borderId="0" xfId="0" applyFont="1" applyBorder="1" applyAlignment="1">
      <alignment horizontal="right"/>
    </xf>
    <xf numFmtId="0" fontId="34" fillId="0" borderId="0" xfId="0" applyFont="1" applyBorder="1" applyAlignment="1">
      <alignment horizontal="right"/>
    </xf>
    <xf numFmtId="168" fontId="46" fillId="0" borderId="11" xfId="144" applyNumberFormat="1" applyFont="1" applyBorder="1"/>
    <xf numFmtId="0" fontId="90" fillId="0" borderId="0" xfId="0" applyFont="1" applyFill="1" applyBorder="1" applyAlignment="1">
      <alignment horizontal="left" vertical="top" wrapText="1"/>
    </xf>
    <xf numFmtId="0" fontId="0" fillId="0" borderId="0" xfId="0" applyFill="1"/>
    <xf numFmtId="9" fontId="7" fillId="0" borderId="0" xfId="37758" applyNumberFormat="1" applyFont="1" applyFill="1" applyBorder="1" applyAlignment="1">
      <alignment horizontal="left" vertical="top" wrapText="1"/>
    </xf>
    <xf numFmtId="9" fontId="7" fillId="0" borderId="0" xfId="37758" applyNumberFormat="1" applyFont="1" applyFill="1" applyBorder="1" applyAlignment="1">
      <alignment horizontal="left" vertical="top"/>
    </xf>
    <xf numFmtId="9" fontId="7" fillId="0" borderId="0" xfId="37758" quotePrefix="1" applyNumberFormat="1" applyFont="1" applyFill="1" applyBorder="1" applyAlignment="1">
      <alignment horizontal="left" vertical="top" wrapText="1"/>
    </xf>
    <xf numFmtId="164" fontId="34" fillId="0" borderId="0" xfId="131" applyNumberFormat="1" applyFill="1" applyAlignment="1">
      <alignment horizontal="right"/>
    </xf>
    <xf numFmtId="9" fontId="34" fillId="0" borderId="0" xfId="131" applyNumberFormat="1" applyFill="1" applyAlignment="1">
      <alignment horizontal="right"/>
    </xf>
    <xf numFmtId="167" fontId="53" fillId="0" borderId="0" xfId="131" applyNumberFormat="1" applyFont="1" applyFill="1"/>
    <xf numFmtId="167" fontId="53" fillId="0" borderId="12" xfId="131" applyNumberFormat="1" applyFont="1" applyFill="1" applyBorder="1"/>
    <xf numFmtId="167" fontId="63" fillId="0" borderId="0" xfId="131" applyNumberFormat="1" applyFont="1" applyFill="1"/>
    <xf numFmtId="167" fontId="50" fillId="0" borderId="0" xfId="131" applyNumberFormat="1" applyFont="1" applyFill="1"/>
    <xf numFmtId="167" fontId="49" fillId="0" borderId="0" xfId="131" applyNumberFormat="1" applyFont="1" applyFill="1" applyBorder="1"/>
    <xf numFmtId="164" fontId="120" fillId="0" borderId="0" xfId="144" applyNumberFormat="1" applyFont="1" applyFill="1"/>
    <xf numFmtId="167" fontId="120" fillId="0" borderId="0" xfId="131" applyNumberFormat="1" applyFont="1" applyFill="1"/>
    <xf numFmtId="10" fontId="63" fillId="30" borderId="0" xfId="177" applyNumberFormat="1" applyFont="1" applyFill="1"/>
    <xf numFmtId="10" fontId="7" fillId="30" borderId="0" xfId="177" applyNumberFormat="1" applyFont="1" applyFill="1" applyAlignment="1">
      <alignment horizontal="right"/>
    </xf>
    <xf numFmtId="3" fontId="7" fillId="0" borderId="0" xfId="37758" applyNumberFormat="1" applyFont="1" applyFill="1" applyBorder="1" applyAlignment="1">
      <alignment horizontal="left" vertical="top"/>
    </xf>
    <xf numFmtId="0" fontId="7" fillId="0" borderId="0" xfId="37758" applyFont="1" applyBorder="1" applyAlignment="1">
      <alignment horizontal="left" indent="2"/>
    </xf>
    <xf numFmtId="0" fontId="51" fillId="0" borderId="0" xfId="37758" applyFont="1" applyBorder="1" applyAlignment="1">
      <alignment horizontal="left" indent="1"/>
    </xf>
    <xf numFmtId="0" fontId="7" fillId="0" borderId="0" xfId="37758" applyFont="1" applyBorder="1" applyAlignment="1">
      <alignment wrapText="1"/>
    </xf>
    <xf numFmtId="9" fontId="7" fillId="0" borderId="0" xfId="0" applyNumberFormat="1" applyFont="1" applyFill="1" applyBorder="1" applyAlignment="1">
      <alignment horizontal="center" wrapText="1"/>
    </xf>
    <xf numFmtId="0" fontId="7" fillId="0" borderId="0" xfId="37758" quotePrefix="1" applyFont="1" applyFill="1" applyBorder="1" applyAlignment="1">
      <alignment horizontal="center"/>
    </xf>
    <xf numFmtId="3" fontId="117" fillId="0" borderId="0" xfId="37759" applyNumberFormat="1" applyFont="1" applyFill="1" applyBorder="1" applyAlignment="1">
      <alignment horizontal="right" wrapText="1" indent="1"/>
    </xf>
    <xf numFmtId="2" fontId="7" fillId="0" borderId="0" xfId="37758" applyNumberFormat="1" applyFont="1" applyBorder="1" applyAlignment="1">
      <alignment horizontal="center"/>
    </xf>
    <xf numFmtId="37" fontId="7" fillId="0" borderId="0" xfId="4288" applyNumberFormat="1" applyFont="1" applyBorder="1" applyAlignment="1">
      <alignment horizontal="center"/>
    </xf>
    <xf numFmtId="3" fontId="63" fillId="0" borderId="0" xfId="37758" applyNumberFormat="1" applyFont="1" applyBorder="1" applyAlignment="1">
      <alignment horizontal="center"/>
    </xf>
    <xf numFmtId="2" fontId="63" fillId="0" borderId="0" xfId="37758" applyNumberFormat="1" applyFont="1" applyBorder="1" applyAlignment="1">
      <alignment horizontal="center"/>
    </xf>
    <xf numFmtId="3" fontId="63" fillId="0" borderId="0" xfId="4288" applyNumberFormat="1" applyFont="1" applyBorder="1" applyAlignment="1">
      <alignment horizontal="center"/>
    </xf>
    <xf numFmtId="175" fontId="121" fillId="0" borderId="0" xfId="37761" applyNumberFormat="1" applyFont="1" applyFill="1" applyBorder="1" applyAlignment="1">
      <alignment horizontal="center" wrapText="1"/>
    </xf>
    <xf numFmtId="3" fontId="121" fillId="0" borderId="0" xfId="37761" applyNumberFormat="1" applyFont="1" applyFill="1" applyBorder="1" applyAlignment="1">
      <alignment horizontal="center"/>
    </xf>
    <xf numFmtId="3" fontId="121" fillId="0" borderId="0" xfId="37761" applyNumberFormat="1" applyFont="1" applyFill="1" applyBorder="1" applyAlignment="1">
      <alignment horizontal="center" wrapText="1"/>
    </xf>
    <xf numFmtId="0" fontId="121" fillId="0" borderId="0" xfId="0" applyFont="1" applyAlignment="1">
      <alignment horizontal="center"/>
    </xf>
    <xf numFmtId="3" fontId="121" fillId="0" borderId="0" xfId="37761" applyNumberFormat="1" applyFont="1" applyFill="1" applyBorder="1" applyAlignment="1">
      <alignment horizontal="center" vertical="center" wrapText="1"/>
    </xf>
    <xf numFmtId="164" fontId="121" fillId="0" borderId="0" xfId="37762" applyNumberFormat="1" applyFont="1" applyFill="1" applyBorder="1" applyAlignment="1">
      <alignment horizontal="center"/>
    </xf>
    <xf numFmtId="10" fontId="121" fillId="0" borderId="0" xfId="144" applyNumberFormat="1" applyFont="1" applyFill="1" applyBorder="1" applyAlignment="1">
      <alignment horizontal="center" wrapText="1"/>
    </xf>
    <xf numFmtId="0" fontId="121" fillId="0" borderId="0" xfId="37758" applyFont="1" applyBorder="1" applyAlignment="1">
      <alignment horizontal="left" indent="1"/>
    </xf>
    <xf numFmtId="9" fontId="34" fillId="0" borderId="0" xfId="144" applyFont="1" applyFill="1" applyAlignment="1">
      <alignment horizontal="center"/>
    </xf>
    <xf numFmtId="0" fontId="51" fillId="0" borderId="12" xfId="37758" applyFont="1" applyBorder="1"/>
    <xf numFmtId="3" fontId="63" fillId="0" borderId="12" xfId="37758" applyNumberFormat="1" applyFont="1" applyBorder="1" applyAlignment="1">
      <alignment horizontal="right" wrapText="1" indent="1"/>
    </xf>
    <xf numFmtId="0" fontId="121" fillId="0" borderId="0" xfId="37758" applyFont="1" applyBorder="1" applyAlignment="1">
      <alignment horizontal="left" indent="2"/>
    </xf>
    <xf numFmtId="3" fontId="121" fillId="0" borderId="0" xfId="37761" applyNumberFormat="1" applyFont="1" applyFill="1" applyBorder="1" applyAlignment="1">
      <alignment horizontal="right" wrapText="1" indent="1"/>
    </xf>
    <xf numFmtId="3" fontId="7" fillId="0" borderId="0" xfId="0" applyNumberFormat="1" applyFont="1" applyFill="1" applyBorder="1" applyAlignment="1">
      <alignment horizontal="center"/>
    </xf>
    <xf numFmtId="0" fontId="121" fillId="0" borderId="0" xfId="0" applyFont="1" applyBorder="1" applyAlignment="1">
      <alignment horizontal="left" vertical="top" wrapText="1" indent="2"/>
    </xf>
    <xf numFmtId="0" fontId="121" fillId="0" borderId="0" xfId="0" applyFont="1" applyBorder="1" applyAlignment="1">
      <alignment horizontal="center" wrapText="1"/>
    </xf>
    <xf numFmtId="166" fontId="121" fillId="0" borderId="0" xfId="0" applyNumberFormat="1" applyFont="1" applyFill="1" applyBorder="1" applyAlignment="1">
      <alignment horizontal="center"/>
    </xf>
    <xf numFmtId="3" fontId="63" fillId="0" borderId="0" xfId="37761" applyNumberFormat="1" applyFont="1" applyFill="1" applyBorder="1" applyAlignment="1">
      <alignment horizontal="right" wrapText="1" indent="1"/>
    </xf>
    <xf numFmtId="4" fontId="7" fillId="0" borderId="0" xfId="37761" quotePrefix="1" applyNumberFormat="1" applyFont="1" applyFill="1" applyBorder="1" applyAlignment="1">
      <alignment horizontal="right" indent="1"/>
    </xf>
    <xf numFmtId="0" fontId="51" fillId="0" borderId="0" xfId="37761" applyFont="1" applyFill="1" applyBorder="1" applyAlignment="1">
      <alignment wrapText="1"/>
    </xf>
    <xf numFmtId="168" fontId="7" fillId="0" borderId="0" xfId="177" applyNumberFormat="1" applyFont="1" applyFill="1"/>
    <xf numFmtId="10" fontId="7" fillId="0" borderId="0" xfId="144" applyNumberFormat="1" applyFont="1" applyFill="1"/>
    <xf numFmtId="10" fontId="7" fillId="0" borderId="0" xfId="177" applyNumberFormat="1" applyFont="1"/>
    <xf numFmtId="10" fontId="34" fillId="0" borderId="0" xfId="177" applyNumberFormat="1" applyFont="1"/>
    <xf numFmtId="176" fontId="63" fillId="0" borderId="0" xfId="35795" applyNumberFormat="1" applyFont="1" applyBorder="1" applyAlignment="1">
      <alignment horizontal="right"/>
    </xf>
    <xf numFmtId="176" fontId="68" fillId="0" borderId="0" xfId="35795" applyNumberFormat="1" applyFont="1" applyBorder="1" applyAlignment="1"/>
    <xf numFmtId="176" fontId="7" fillId="0" borderId="12" xfId="35795" applyNumberFormat="1" applyFont="1" applyBorder="1" applyAlignment="1"/>
    <xf numFmtId="176" fontId="7" fillId="0" borderId="12" xfId="35795" applyNumberFormat="1" applyFont="1" applyBorder="1"/>
    <xf numFmtId="176" fontId="7" fillId="0" borderId="0" xfId="35795" applyNumberFormat="1" applyFont="1" applyBorder="1" applyAlignment="1"/>
    <xf numFmtId="176" fontId="7" fillId="0" borderId="0" xfId="35795" applyNumberFormat="1" applyFont="1"/>
    <xf numFmtId="0" fontId="34" fillId="78" borderId="0" xfId="0" applyFont="1" applyFill="1"/>
    <xf numFmtId="0" fontId="7" fillId="0" borderId="0" xfId="37758" applyFont="1" applyBorder="1" applyAlignment="1">
      <alignment horizontal="left" vertical="top" indent="1"/>
    </xf>
    <xf numFmtId="2" fontId="34" fillId="0" borderId="0" xfId="131" applyNumberFormat="1"/>
    <xf numFmtId="0" fontId="7" fillId="0" borderId="0" xfId="131" applyFont="1" applyAlignment="1">
      <alignment horizontal="right"/>
    </xf>
    <xf numFmtId="176" fontId="124" fillId="0" borderId="0" xfId="35795" applyNumberFormat="1" applyFont="1" applyBorder="1" applyAlignment="1">
      <alignment horizontal="right"/>
    </xf>
    <xf numFmtId="3" fontId="124" fillId="0" borderId="0" xfId="37759" applyNumberFormat="1" applyFont="1" applyFill="1" applyBorder="1" applyAlignment="1">
      <alignment horizontal="right" wrapText="1" indent="1"/>
    </xf>
    <xf numFmtId="3" fontId="63" fillId="0" borderId="0" xfId="37758" applyNumberFormat="1" applyFont="1" applyFill="1" applyBorder="1" applyAlignment="1">
      <alignment horizontal="right" wrapText="1" indent="1"/>
    </xf>
    <xf numFmtId="0" fontId="46" fillId="0" borderId="0" xfId="0" applyFont="1" applyFill="1" applyBorder="1" applyAlignment="1">
      <alignment horizontal="center" wrapText="1"/>
    </xf>
    <xf numFmtId="3" fontId="7" fillId="0" borderId="0" xfId="37761" applyNumberFormat="1" applyFont="1" applyFill="1" applyBorder="1" applyAlignment="1">
      <alignment horizontal="center" vertical="center" wrapText="1"/>
    </xf>
    <xf numFmtId="0" fontId="124" fillId="0" borderId="0" xfId="37758" quotePrefix="1" applyFont="1" applyFill="1" applyBorder="1" applyAlignment="1">
      <alignment horizontal="right" indent="1"/>
    </xf>
    <xf numFmtId="0" fontId="63" fillId="0" borderId="0" xfId="37758" applyFont="1" applyBorder="1" applyAlignment="1">
      <alignment horizontal="center"/>
    </xf>
    <xf numFmtId="9" fontId="7" fillId="0" borderId="0" xfId="144" quotePrefix="1" applyFont="1" applyFill="1" applyBorder="1" applyAlignment="1">
      <alignment horizontal="right" indent="1"/>
    </xf>
    <xf numFmtId="9" fontId="63" fillId="0" borderId="0" xfId="144" applyFont="1" applyFill="1" applyBorder="1" applyAlignment="1">
      <alignment horizontal="right" wrapText="1" indent="1"/>
    </xf>
    <xf numFmtId="164" fontId="7" fillId="0" borderId="0" xfId="144" quotePrefix="1" applyNumberFormat="1" applyFont="1" applyFill="1" applyBorder="1" applyAlignment="1">
      <alignment horizontal="right" indent="1"/>
    </xf>
    <xf numFmtId="164" fontId="63" fillId="0" borderId="0" xfId="144" applyNumberFormat="1" applyFont="1" applyFill="1" applyBorder="1" applyAlignment="1">
      <alignment horizontal="right" wrapText="1" indent="1"/>
    </xf>
    <xf numFmtId="164" fontId="7" fillId="0" borderId="12" xfId="144" applyNumberFormat="1" applyFont="1" applyBorder="1" applyAlignment="1">
      <alignment horizontal="right" wrapText="1" indent="1"/>
    </xf>
    <xf numFmtId="164" fontId="7" fillId="0" borderId="0" xfId="144" applyNumberFormat="1" applyFont="1" applyBorder="1" applyAlignment="1">
      <alignment horizontal="right" wrapText="1" indent="1"/>
    </xf>
    <xf numFmtId="164" fontId="7" fillId="0" borderId="0" xfId="144" applyNumberFormat="1" applyFont="1" applyFill="1" applyBorder="1" applyAlignment="1">
      <alignment horizontal="right" wrapText="1" indent="1"/>
    </xf>
    <xf numFmtId="3" fontId="63" fillId="0" borderId="12" xfId="37758" applyNumberFormat="1" applyFont="1" applyFill="1" applyBorder="1" applyAlignment="1">
      <alignment horizontal="right" wrapText="1" indent="1"/>
    </xf>
    <xf numFmtId="176" fontId="124" fillId="0" borderId="0" xfId="35795" applyNumberFormat="1" applyFont="1" applyBorder="1" applyAlignment="1"/>
    <xf numFmtId="3" fontId="124" fillId="0" borderId="0" xfId="37758" applyNumberFormat="1" applyFont="1" applyFill="1" applyBorder="1" applyAlignment="1">
      <alignment horizontal="right" wrapText="1" indent="1"/>
    </xf>
    <xf numFmtId="0" fontId="7" fillId="0" borderId="0" xfId="37758" applyFont="1" applyFill="1" applyBorder="1" applyAlignment="1">
      <alignment horizontal="right"/>
    </xf>
    <xf numFmtId="10" fontId="34" fillId="0" borderId="0" xfId="144" applyNumberFormat="1" applyFont="1" applyFill="1" applyAlignment="1">
      <alignment horizontal="center"/>
    </xf>
    <xf numFmtId="43" fontId="7" fillId="0" borderId="0" xfId="35795" applyFont="1" applyBorder="1" applyAlignment="1">
      <alignment horizontal="center"/>
    </xf>
    <xf numFmtId="3" fontId="7" fillId="0" borderId="0" xfId="37761" applyNumberFormat="1" applyFont="1" applyAlignment="1">
      <alignment horizontal="center"/>
    </xf>
    <xf numFmtId="1" fontId="7" fillId="0" borderId="0" xfId="37761" applyNumberFormat="1" applyFont="1" applyAlignment="1">
      <alignment horizontal="center"/>
    </xf>
    <xf numFmtId="9" fontId="65" fillId="0" borderId="0" xfId="131" applyNumberFormat="1" applyFont="1" applyFill="1" applyAlignment="1">
      <alignment horizontal="right"/>
    </xf>
    <xf numFmtId="0" fontId="7" fillId="0" borderId="0" xfId="131" applyFont="1" applyAlignment="1">
      <alignment horizontal="center"/>
    </xf>
    <xf numFmtId="167" fontId="34" fillId="0" borderId="0" xfId="131" applyNumberFormat="1" applyFill="1"/>
    <xf numFmtId="165" fontId="34" fillId="0" borderId="0" xfId="131" applyNumberFormat="1" applyFill="1"/>
    <xf numFmtId="165" fontId="7" fillId="0" borderId="0" xfId="131" applyNumberFormat="1" applyFont="1" applyFill="1"/>
    <xf numFmtId="168" fontId="46" fillId="0" borderId="0" xfId="131" applyNumberFormat="1" applyFont="1" applyFill="1" applyBorder="1"/>
    <xf numFmtId="0" fontId="46" fillId="0" borderId="0" xfId="131" applyFont="1" applyFill="1" applyAlignment="1">
      <alignment horizontal="center"/>
    </xf>
    <xf numFmtId="0" fontId="7" fillId="0" borderId="0" xfId="131" applyFont="1" applyAlignment="1">
      <alignment horizontal="left"/>
    </xf>
    <xf numFmtId="166" fontId="56" fillId="0" borderId="0" xfId="131" applyNumberFormat="1" applyFont="1" applyFill="1"/>
    <xf numFmtId="1" fontId="65" fillId="0" borderId="0" xfId="131" applyNumberFormat="1" applyFont="1" applyFill="1" applyAlignment="1">
      <alignment horizontal="right"/>
    </xf>
    <xf numFmtId="0" fontId="46" fillId="0" borderId="0" xfId="0" applyFont="1" applyFill="1" applyBorder="1" applyAlignment="1">
      <alignment horizontal="center" wrapText="1"/>
    </xf>
    <xf numFmtId="0" fontId="46" fillId="0" borderId="0" xfId="37761" applyFont="1" applyFill="1" applyBorder="1" applyAlignment="1">
      <alignment horizontal="center" wrapText="1"/>
    </xf>
    <xf numFmtId="0" fontId="46" fillId="0" borderId="0" xfId="0" applyFont="1" applyAlignment="1">
      <alignment vertical="center"/>
    </xf>
    <xf numFmtId="0" fontId="7" fillId="0" borderId="0" xfId="0" applyFont="1" applyAlignment="1"/>
    <xf numFmtId="0" fontId="46" fillId="0" borderId="0" xfId="0" applyFont="1" applyFill="1" applyBorder="1" applyAlignment="1">
      <alignment wrapText="1"/>
    </xf>
    <xf numFmtId="176" fontId="46" fillId="0" borderId="0" xfId="35795" applyNumberFormat="1" applyFont="1" applyFill="1"/>
    <xf numFmtId="168" fontId="7" fillId="0" borderId="0" xfId="131" applyNumberFormat="1" applyFont="1" applyFill="1" applyBorder="1"/>
    <xf numFmtId="0" fontId="13" fillId="0" borderId="0" xfId="0" applyFont="1"/>
    <xf numFmtId="0" fontId="46" fillId="0" borderId="0" xfId="0" applyFont="1" applyFill="1"/>
    <xf numFmtId="0" fontId="121" fillId="0" borderId="0" xfId="17981" applyFont="1" applyFill="1"/>
    <xf numFmtId="0" fontId="121" fillId="0" borderId="0" xfId="17981" applyFont="1" applyAlignment="1">
      <alignment horizontal="right"/>
    </xf>
    <xf numFmtId="0" fontId="123" fillId="0" borderId="0" xfId="17981" applyFont="1" applyBorder="1" applyAlignment="1">
      <alignment horizontal="right"/>
    </xf>
    <xf numFmtId="0" fontId="122" fillId="0" borderId="0" xfId="17981" applyFont="1" applyBorder="1" applyAlignment="1">
      <alignment horizontal="center" vertical="top"/>
    </xf>
    <xf numFmtId="0" fontId="121" fillId="0" borderId="0" xfId="17981" applyFont="1" applyAlignment="1">
      <alignment horizontal="center"/>
    </xf>
    <xf numFmtId="164" fontId="46" fillId="0" borderId="0" xfId="144" applyNumberFormat="1" applyFont="1" applyFill="1"/>
    <xf numFmtId="176" fontId="46" fillId="0" borderId="0" xfId="35795" applyNumberFormat="1" applyFont="1" applyBorder="1" applyAlignment="1">
      <alignment horizontal="left" indent="2"/>
    </xf>
    <xf numFmtId="3" fontId="68" fillId="0" borderId="0" xfId="37758" applyNumberFormat="1" applyFont="1" applyFill="1" applyBorder="1" applyAlignment="1">
      <alignment horizontal="right" wrapText="1" indent="1"/>
    </xf>
    <xf numFmtId="3" fontId="130" fillId="0" borderId="0" xfId="37758" applyNumberFormat="1" applyFont="1" applyFill="1" applyBorder="1" applyAlignment="1">
      <alignment horizontal="right" wrapText="1" indent="1"/>
    </xf>
    <xf numFmtId="0" fontId="46" fillId="0" borderId="0" xfId="37758" applyFont="1" applyBorder="1" applyAlignment="1"/>
    <xf numFmtId="3" fontId="68" fillId="0" borderId="0" xfId="37758" applyNumberFormat="1" applyFont="1" applyBorder="1" applyAlignment="1">
      <alignment horizontal="right" wrapText="1" indent="1"/>
    </xf>
    <xf numFmtId="3" fontId="130" fillId="0" borderId="0" xfId="37758" applyNumberFormat="1" applyFont="1" applyBorder="1" applyAlignment="1">
      <alignment horizontal="right" wrapText="1" indent="1"/>
    </xf>
    <xf numFmtId="164" fontId="121" fillId="0" borderId="0" xfId="144" applyNumberFormat="1" applyFont="1" applyFill="1" applyAlignment="1">
      <alignment horizontal="right" vertical="center" indent="1"/>
    </xf>
    <xf numFmtId="1" fontId="121" fillId="0" borderId="0" xfId="17981" applyNumberFormat="1" applyFont="1" applyFill="1" applyAlignment="1">
      <alignment horizontal="right" vertical="center" indent="1"/>
    </xf>
    <xf numFmtId="166" fontId="121" fillId="0" borderId="0" xfId="35795" applyNumberFormat="1" applyFont="1" applyFill="1" applyAlignment="1">
      <alignment horizontal="right" vertical="center" indent="1"/>
    </xf>
    <xf numFmtId="10" fontId="121" fillId="0" borderId="0" xfId="144" applyNumberFormat="1" applyFont="1" applyFill="1" applyAlignment="1">
      <alignment horizontal="center"/>
    </xf>
    <xf numFmtId="1" fontId="117" fillId="0" borderId="0" xfId="17981" applyNumberFormat="1" applyFont="1" applyFill="1" applyAlignment="1">
      <alignment horizontal="right" indent="1"/>
    </xf>
    <xf numFmtId="176" fontId="117" fillId="0" borderId="0" xfId="35795" applyNumberFormat="1" applyFont="1" applyFill="1" applyAlignment="1">
      <alignment horizontal="right" indent="1"/>
    </xf>
    <xf numFmtId="164" fontId="117" fillId="0" borderId="0" xfId="144" applyNumberFormat="1" applyFont="1" applyFill="1" applyAlignment="1">
      <alignment horizontal="right" indent="1"/>
    </xf>
    <xf numFmtId="43" fontId="117" fillId="0" borderId="0" xfId="35795" applyFont="1" applyFill="1" applyAlignment="1">
      <alignment horizontal="right" indent="1"/>
    </xf>
    <xf numFmtId="2" fontId="117" fillId="0" borderId="0" xfId="17981" applyNumberFormat="1" applyFont="1" applyFill="1" applyAlignment="1">
      <alignment horizontal="right" indent="1"/>
    </xf>
    <xf numFmtId="0" fontId="117" fillId="0" borderId="0" xfId="17981" applyFont="1" applyFill="1"/>
    <xf numFmtId="168" fontId="48" fillId="0" borderId="0" xfId="131" applyNumberFormat="1" applyFont="1"/>
    <xf numFmtId="1" fontId="34" fillId="0" borderId="0" xfId="177" applyNumberFormat="1" applyFont="1"/>
    <xf numFmtId="10" fontId="34" fillId="0" borderId="0" xfId="131" applyNumberFormat="1" applyFill="1" applyAlignment="1">
      <alignment horizontal="right"/>
    </xf>
    <xf numFmtId="167" fontId="7" fillId="0" borderId="0" xfId="131" applyNumberFormat="1" applyFont="1"/>
    <xf numFmtId="168" fontId="7" fillId="0" borderId="0" xfId="131" applyNumberFormat="1" applyFont="1"/>
    <xf numFmtId="3" fontId="7" fillId="0" borderId="0" xfId="131" applyNumberFormat="1" applyFont="1" applyFill="1" applyAlignment="1">
      <alignment horizontal="right"/>
    </xf>
    <xf numFmtId="167" fontId="7" fillId="0" borderId="0" xfId="131" applyNumberFormat="1" applyFont="1" applyFill="1"/>
    <xf numFmtId="165" fontId="7" fillId="0" borderId="0" xfId="131" quotePrefix="1" applyNumberFormat="1" applyFont="1" applyFill="1" applyBorder="1" applyAlignment="1">
      <alignment horizontal="right"/>
    </xf>
    <xf numFmtId="167" fontId="129" fillId="0" borderId="0" xfId="131" applyNumberFormat="1" applyFont="1"/>
    <xf numFmtId="167" fontId="129" fillId="0" borderId="0" xfId="131" applyNumberFormat="1" applyFont="1" applyFill="1"/>
    <xf numFmtId="167" fontId="129" fillId="0" borderId="0" xfId="37764" applyNumberFormat="1" applyFont="1" applyFill="1"/>
    <xf numFmtId="0" fontId="123" fillId="0" borderId="0" xfId="17981" applyFont="1" applyBorder="1" applyAlignment="1">
      <alignment horizontal="left"/>
    </xf>
    <xf numFmtId="43" fontId="0" fillId="0" borderId="0" xfId="0" applyNumberFormat="1"/>
    <xf numFmtId="166" fontId="48" fillId="0" borderId="0" xfId="131" applyNumberFormat="1" applyFont="1"/>
    <xf numFmtId="164" fontId="63" fillId="0" borderId="0" xfId="144" quotePrefix="1" applyNumberFormat="1" applyFont="1" applyFill="1" applyBorder="1" applyAlignment="1">
      <alignment horizontal="right" indent="1"/>
    </xf>
    <xf numFmtId="164" fontId="63" fillId="0" borderId="12" xfId="144" applyNumberFormat="1" applyFont="1" applyBorder="1" applyAlignment="1">
      <alignment horizontal="right" wrapText="1" indent="1"/>
    </xf>
    <xf numFmtId="164" fontId="63" fillId="0" borderId="0" xfId="144" applyNumberFormat="1" applyFont="1" applyBorder="1" applyAlignment="1">
      <alignment horizontal="right" wrapText="1" indent="1"/>
    </xf>
    <xf numFmtId="0" fontId="0" fillId="0" borderId="0" xfId="0" applyBorder="1"/>
    <xf numFmtId="0" fontId="46" fillId="0" borderId="0" xfId="0" applyFont="1" applyFill="1" applyBorder="1" applyAlignment="1">
      <alignment horizontal="center" wrapText="1"/>
    </xf>
    <xf numFmtId="0" fontId="121" fillId="0" borderId="0" xfId="37766" applyFont="1"/>
    <xf numFmtId="0" fontId="121" fillId="0" borderId="11" xfId="37766" applyFont="1" applyBorder="1"/>
    <xf numFmtId="2" fontId="68" fillId="0" borderId="0" xfId="37766" applyNumberFormat="1" applyFont="1"/>
    <xf numFmtId="0" fontId="121" fillId="0" borderId="0" xfId="37766" applyFont="1" applyAlignment="1">
      <alignment horizontal="right"/>
    </xf>
    <xf numFmtId="0" fontId="122" fillId="0" borderId="0" xfId="37766" applyFont="1"/>
    <xf numFmtId="6" fontId="63" fillId="0" borderId="0" xfId="37766" applyNumberFormat="1" applyFont="1"/>
    <xf numFmtId="6" fontId="63" fillId="0" borderId="0" xfId="37766" applyNumberFormat="1" applyFont="1" applyAlignment="1">
      <alignment horizontal="right"/>
    </xf>
    <xf numFmtId="0" fontId="121" fillId="0" borderId="0" xfId="37766" applyFont="1" applyFill="1"/>
    <xf numFmtId="6" fontId="63" fillId="0" borderId="12" xfId="37766" applyNumberFormat="1" applyFont="1" applyBorder="1" applyAlignment="1">
      <alignment horizontal="right"/>
    </xf>
    <xf numFmtId="0" fontId="121" fillId="0" borderId="12" xfId="37766" applyFont="1" applyFill="1" applyBorder="1"/>
    <xf numFmtId="0" fontId="123" fillId="0" borderId="0" xfId="37766" applyFont="1" applyFill="1" applyAlignment="1">
      <alignment horizontal="left"/>
    </xf>
    <xf numFmtId="0" fontId="121" fillId="0" borderId="0" xfId="37766" applyFont="1" applyFill="1" applyAlignment="1">
      <alignment horizontal="left" indent="1"/>
    </xf>
    <xf numFmtId="8" fontId="63" fillId="0" borderId="0" xfId="37766" applyNumberFormat="1" applyFont="1"/>
    <xf numFmtId="0" fontId="121" fillId="0" borderId="0" xfId="37766" applyFont="1" applyAlignment="1">
      <alignment horizontal="left" indent="1"/>
    </xf>
    <xf numFmtId="0" fontId="122" fillId="0" borderId="0" xfId="37766" applyFont="1" applyAlignment="1">
      <alignment horizontal="right"/>
    </xf>
    <xf numFmtId="6" fontId="7" fillId="0" borderId="12" xfId="37766" applyNumberFormat="1" applyFont="1" applyBorder="1" applyAlignment="1">
      <alignment horizontal="right"/>
    </xf>
    <xf numFmtId="0" fontId="121" fillId="0" borderId="12" xfId="37766" applyFont="1" applyBorder="1"/>
    <xf numFmtId="2" fontId="121" fillId="0" borderId="0" xfId="37766" applyNumberFormat="1" applyFont="1" applyAlignment="1">
      <alignment horizontal="right"/>
    </xf>
    <xf numFmtId="9" fontId="121" fillId="0" borderId="0" xfId="37766" applyNumberFormat="1" applyFont="1" applyAlignment="1">
      <alignment horizontal="right"/>
    </xf>
    <xf numFmtId="0" fontId="7" fillId="0" borderId="0" xfId="37768" applyFont="1" applyFill="1" applyAlignment="1">
      <alignment horizontal="left" indent="1"/>
    </xf>
    <xf numFmtId="1" fontId="7" fillId="0" borderId="0" xfId="37766" applyNumberFormat="1" applyFont="1" applyAlignment="1">
      <alignment horizontal="right"/>
    </xf>
    <xf numFmtId="0" fontId="122" fillId="0" borderId="0" xfId="37766" applyFont="1" applyAlignment="1">
      <alignment horizontal="center" vertical="center" wrapText="1"/>
    </xf>
    <xf numFmtId="0" fontId="122" fillId="0" borderId="0" xfId="37766" applyFont="1" applyAlignment="1">
      <alignment horizontal="right" vertical="center" wrapText="1"/>
    </xf>
    <xf numFmtId="0" fontId="122" fillId="0" borderId="0" xfId="37766" applyFont="1" applyAlignment="1">
      <alignment horizontal="right" vertical="center"/>
    </xf>
    <xf numFmtId="0" fontId="122" fillId="0" borderId="0" xfId="37766" applyFont="1" applyAlignment="1">
      <alignment horizontal="left" vertical="center"/>
    </xf>
    <xf numFmtId="0" fontId="122" fillId="0" borderId="12" xfId="37766" applyFont="1" applyBorder="1" applyAlignment="1">
      <alignment horizontal="right" vertical="center" wrapText="1"/>
    </xf>
    <xf numFmtId="0" fontId="122" fillId="0" borderId="12" xfId="37766" applyFont="1" applyBorder="1" applyAlignment="1">
      <alignment horizontal="left" vertical="center"/>
    </xf>
    <xf numFmtId="0" fontId="122" fillId="0" borderId="0" xfId="37766" applyFont="1" applyAlignment="1">
      <alignment horizontal="left" vertical="center" wrapText="1"/>
    </xf>
    <xf numFmtId="0" fontId="121" fillId="0" borderId="0" xfId="37766" applyFont="1" applyAlignment="1">
      <alignment horizontal="center"/>
    </xf>
    <xf numFmtId="0" fontId="121" fillId="0" borderId="11" xfId="37766" applyFont="1" applyBorder="1" applyAlignment="1">
      <alignment horizontal="center"/>
    </xf>
    <xf numFmtId="0" fontId="123" fillId="0" borderId="0" xfId="37766" applyFont="1" applyFill="1" applyAlignment="1"/>
    <xf numFmtId="174" fontId="63" fillId="0" borderId="0" xfId="37766" applyNumberFormat="1" applyFont="1" applyFill="1" applyAlignment="1">
      <alignment horizontal="right"/>
    </xf>
    <xf numFmtId="0" fontId="122" fillId="0" borderId="0" xfId="37766" applyFont="1" applyFill="1"/>
    <xf numFmtId="2" fontId="63" fillId="0" borderId="0" xfId="37766" applyNumberFormat="1" applyFont="1" applyFill="1" applyAlignment="1">
      <alignment horizontal="center"/>
    </xf>
    <xf numFmtId="6" fontId="63" fillId="0" borderId="0" xfId="37766" applyNumberFormat="1" applyFont="1" applyFill="1" applyAlignment="1">
      <alignment horizontal="right"/>
    </xf>
    <xf numFmtId="6" fontId="63" fillId="0" borderId="12" xfId="37766" applyNumberFormat="1" applyFont="1" applyFill="1" applyBorder="1" applyAlignment="1">
      <alignment horizontal="right"/>
    </xf>
    <xf numFmtId="165" fontId="63" fillId="0" borderId="0" xfId="37766" applyNumberFormat="1" applyFont="1" applyFill="1" applyAlignment="1">
      <alignment horizontal="center"/>
    </xf>
    <xf numFmtId="6" fontId="121" fillId="0" borderId="0" xfId="37766" applyNumberFormat="1" applyFont="1" applyFill="1" applyAlignment="1">
      <alignment horizontal="right"/>
    </xf>
    <xf numFmtId="0" fontId="121" fillId="0" borderId="0" xfId="37766" applyFont="1" applyFill="1" applyAlignment="1">
      <alignment horizontal="left" indent="2"/>
    </xf>
    <xf numFmtId="0" fontId="63" fillId="0" borderId="0" xfId="37766" applyFont="1" applyAlignment="1">
      <alignment horizontal="center"/>
    </xf>
    <xf numFmtId="6" fontId="121" fillId="0" borderId="0" xfId="37766" applyNumberFormat="1" applyFont="1" applyAlignment="1">
      <alignment horizontal="right"/>
    </xf>
    <xf numFmtId="0" fontId="121" fillId="0" borderId="0" xfId="37766" applyFont="1" applyAlignment="1">
      <alignment horizontal="left" indent="2"/>
    </xf>
    <xf numFmtId="0" fontId="122" fillId="0" borderId="12" xfId="37766" applyFont="1" applyBorder="1" applyAlignment="1">
      <alignment horizontal="right"/>
    </xf>
    <xf numFmtId="0" fontId="122" fillId="0" borderId="12" xfId="37766" applyFont="1" applyBorder="1"/>
    <xf numFmtId="0" fontId="122" fillId="0" borderId="0" xfId="37766" applyFont="1" applyAlignment="1">
      <alignment wrapText="1"/>
    </xf>
    <xf numFmtId="0" fontId="121" fillId="0" borderId="0" xfId="37766" applyFont="1" applyBorder="1" applyAlignment="1">
      <alignment horizontal="center"/>
    </xf>
    <xf numFmtId="0" fontId="122" fillId="0" borderId="0" xfId="37766" applyFont="1" applyBorder="1"/>
    <xf numFmtId="0" fontId="122" fillId="0" borderId="11" xfId="37766" applyFont="1" applyBorder="1"/>
    <xf numFmtId="0" fontId="46" fillId="0" borderId="0" xfId="0" applyFont="1" applyFill="1" applyBorder="1" applyAlignment="1">
      <alignment horizontal="center" wrapText="1"/>
    </xf>
    <xf numFmtId="165" fontId="121" fillId="0" borderId="0" xfId="17981" applyNumberFormat="1" applyFont="1" applyFill="1" applyAlignment="1">
      <alignment horizontal="right" vertical="center" indent="1"/>
    </xf>
    <xf numFmtId="0" fontId="51" fillId="0" borderId="0" xfId="131" applyFont="1" applyBorder="1"/>
    <xf numFmtId="0" fontId="51" fillId="0" borderId="0" xfId="131" applyFont="1" applyBorder="1" applyAlignment="1">
      <alignment horizontal="centerContinuous"/>
    </xf>
    <xf numFmtId="0" fontId="7" fillId="0" borderId="11" xfId="131" applyFont="1" applyBorder="1" applyAlignment="1">
      <alignment horizontal="center"/>
    </xf>
    <xf numFmtId="0" fontId="7" fillId="0" borderId="12" xfId="131" applyFont="1" applyBorder="1" applyAlignment="1">
      <alignment horizontal="center"/>
    </xf>
    <xf numFmtId="0" fontId="7" fillId="78" borderId="0" xfId="131" applyFont="1" applyFill="1" applyAlignment="1">
      <alignment horizontal="center"/>
    </xf>
    <xf numFmtId="0" fontId="46" fillId="0" borderId="0" xfId="0" applyFont="1" applyAlignment="1">
      <alignment horizontal="center" vertical="center" wrapText="1"/>
    </xf>
    <xf numFmtId="2" fontId="7" fillId="0" borderId="0" xfId="131" applyNumberFormat="1" applyFont="1" applyAlignment="1">
      <alignment horizontal="right" indent="2"/>
    </xf>
    <xf numFmtId="0" fontId="46" fillId="0" borderId="0" xfId="131" applyFont="1" applyAlignment="1">
      <alignment horizontal="center" vertical="center"/>
    </xf>
    <xf numFmtId="0" fontId="0" fillId="0" borderId="11" xfId="0" applyFill="1" applyBorder="1"/>
    <xf numFmtId="0" fontId="7" fillId="0" borderId="0" xfId="0" applyFont="1" applyFill="1" applyBorder="1"/>
    <xf numFmtId="0" fontId="34" fillId="0" borderId="0" xfId="0" applyFont="1" applyFill="1" applyBorder="1" applyAlignment="1">
      <alignment horizontal="center"/>
    </xf>
    <xf numFmtId="0" fontId="7" fillId="0" borderId="0" xfId="0" applyFont="1" applyFill="1" applyBorder="1" applyAlignment="1">
      <alignment horizontal="center"/>
    </xf>
    <xf numFmtId="0" fontId="7" fillId="0" borderId="0" xfId="37758" applyFont="1" applyFill="1" applyBorder="1"/>
    <xf numFmtId="0" fontId="7" fillId="0" borderId="0" xfId="37758" applyFont="1" applyFill="1" applyBorder="1" applyAlignment="1">
      <alignment horizontal="center" wrapText="1"/>
    </xf>
    <xf numFmtId="3" fontId="7" fillId="0" borderId="12" xfId="37758" applyNumberFormat="1" applyFont="1" applyFill="1" applyBorder="1" applyAlignment="1">
      <alignment horizontal="right" wrapText="1" indent="1"/>
    </xf>
    <xf numFmtId="3" fontId="7" fillId="0" borderId="0" xfId="37758" applyNumberFormat="1" applyFont="1" applyFill="1"/>
    <xf numFmtId="0" fontId="7" fillId="0" borderId="0" xfId="37758" applyFont="1" applyFill="1"/>
    <xf numFmtId="164" fontId="117" fillId="0" borderId="0" xfId="37766" applyNumberFormat="1" applyFont="1" applyAlignment="1">
      <alignment horizontal="right"/>
    </xf>
    <xf numFmtId="0" fontId="121" fillId="0" borderId="0" xfId="37766" applyNumberFormat="1" applyFont="1" applyAlignment="1">
      <alignment horizontal="right"/>
    </xf>
    <xf numFmtId="0" fontId="121" fillId="0" borderId="0" xfId="37765" applyFont="1"/>
    <xf numFmtId="0" fontId="122" fillId="0" borderId="0" xfId="37765" applyFont="1" applyAlignment="1">
      <alignment horizontal="centerContinuous"/>
    </xf>
    <xf numFmtId="0" fontId="121" fillId="0" borderId="0" xfId="37765" applyFont="1" applyAlignment="1">
      <alignment horizontal="centerContinuous"/>
    </xf>
    <xf numFmtId="0" fontId="123" fillId="0" borderId="0" xfId="37765" applyFont="1"/>
    <xf numFmtId="0" fontId="123" fillId="0" borderId="0" xfId="37765" applyFont="1" applyAlignment="1">
      <alignment horizontal="right"/>
    </xf>
    <xf numFmtId="0" fontId="122" fillId="0" borderId="0" xfId="37765" applyFont="1"/>
    <xf numFmtId="0" fontId="121" fillId="0" borderId="0" xfId="37765" applyFont="1" applyAlignment="1">
      <alignment horizontal="right" indent="1"/>
    </xf>
    <xf numFmtId="165" fontId="121" fillId="0" borderId="0" xfId="37765" applyNumberFormat="1" applyFont="1" applyAlignment="1">
      <alignment horizontal="right" indent="1"/>
    </xf>
    <xf numFmtId="174" fontId="121" fillId="0" borderId="0" xfId="37765" applyNumberFormat="1" applyFont="1" applyAlignment="1">
      <alignment horizontal="right" indent="1"/>
    </xf>
    <xf numFmtId="174" fontId="122" fillId="0" borderId="0" xfId="37765" applyNumberFormat="1" applyFont="1" applyAlignment="1">
      <alignment horizontal="right" indent="1"/>
    </xf>
    <xf numFmtId="0" fontId="123" fillId="0" borderId="0" xfId="37765" applyFont="1" applyAlignment="1">
      <alignment horizontal="center"/>
    </xf>
    <xf numFmtId="167" fontId="121" fillId="0" borderId="0" xfId="37765" applyNumberFormat="1" applyFont="1" applyAlignment="1">
      <alignment horizontal="right" indent="1"/>
    </xf>
    <xf numFmtId="0" fontId="122" fillId="0" borderId="0" xfId="37765" applyFont="1" applyAlignment="1">
      <alignment horizontal="right" indent="1"/>
    </xf>
    <xf numFmtId="167" fontId="122" fillId="0" borderId="0" xfId="37765" applyNumberFormat="1" applyFont="1" applyAlignment="1">
      <alignment horizontal="right" indent="1"/>
    </xf>
    <xf numFmtId="0" fontId="121" fillId="0" borderId="11" xfId="37765" applyFont="1" applyBorder="1"/>
    <xf numFmtId="0" fontId="123" fillId="0" borderId="12" xfId="37765" applyFont="1" applyBorder="1"/>
    <xf numFmtId="0" fontId="123" fillId="0" borderId="12" xfId="37765" applyFont="1" applyBorder="1" applyAlignment="1">
      <alignment horizontal="right"/>
    </xf>
    <xf numFmtId="0" fontId="122" fillId="0" borderId="12" xfId="37765" applyFont="1" applyBorder="1"/>
    <xf numFmtId="0" fontId="121" fillId="0" borderId="12" xfId="37765" applyFont="1" applyBorder="1" applyAlignment="1">
      <alignment horizontal="right" indent="1"/>
    </xf>
    <xf numFmtId="174" fontId="122" fillId="0" borderId="12" xfId="37765" applyNumberFormat="1" applyFont="1" applyBorder="1" applyAlignment="1">
      <alignment horizontal="right" indent="1"/>
    </xf>
    <xf numFmtId="0" fontId="121" fillId="0" borderId="12" xfId="37765" applyFont="1" applyBorder="1"/>
    <xf numFmtId="0" fontId="122" fillId="0" borderId="12" xfId="37765" applyFont="1" applyBorder="1" applyAlignment="1">
      <alignment horizontal="right" indent="1"/>
    </xf>
    <xf numFmtId="167" fontId="122" fillId="0" borderId="12" xfId="37765" applyNumberFormat="1" applyFont="1" applyBorder="1" applyAlignment="1">
      <alignment horizontal="right" indent="1"/>
    </xf>
    <xf numFmtId="0" fontId="122" fillId="79" borderId="0" xfId="37765" applyFont="1" applyFill="1"/>
    <xf numFmtId="0" fontId="123" fillId="79" borderId="0" xfId="37765" applyFont="1" applyFill="1"/>
    <xf numFmtId="0" fontId="121" fillId="79" borderId="0" xfId="37765" applyFont="1" applyFill="1" applyAlignment="1">
      <alignment horizontal="right" indent="1"/>
    </xf>
    <xf numFmtId="0" fontId="121" fillId="79" borderId="0" xfId="37765" applyFont="1" applyFill="1"/>
    <xf numFmtId="0" fontId="123" fillId="79" borderId="0" xfId="37765" applyFont="1" applyFill="1" applyAlignment="1">
      <alignment horizontal="right" indent="1"/>
    </xf>
    <xf numFmtId="167" fontId="117" fillId="0" borderId="0" xfId="0" applyNumberFormat="1" applyFont="1" applyFill="1" applyAlignment="1">
      <alignment horizontal="center"/>
    </xf>
    <xf numFmtId="165" fontId="117" fillId="0" borderId="0" xfId="0" applyNumberFormat="1" applyFont="1" applyFill="1" applyAlignment="1">
      <alignment horizontal="center"/>
    </xf>
    <xf numFmtId="167" fontId="117" fillId="0" borderId="0" xfId="183" applyNumberFormat="1" applyFont="1" applyFill="1" applyAlignment="1">
      <alignment horizontal="center"/>
    </xf>
    <xf numFmtId="0" fontId="136" fillId="0" borderId="0" xfId="37771" applyFont="1"/>
    <xf numFmtId="178" fontId="46" fillId="0" borderId="0" xfId="35795" applyNumberFormat="1" applyFont="1" applyFill="1"/>
    <xf numFmtId="9" fontId="7" fillId="0" borderId="0" xfId="144" applyNumberFormat="1" applyFont="1" applyBorder="1" applyAlignment="1">
      <alignment horizontal="center"/>
    </xf>
    <xf numFmtId="164" fontId="120" fillId="0" borderId="0" xfId="131" applyNumberFormat="1" applyFont="1" applyFill="1" applyAlignment="1">
      <alignment horizontal="right"/>
    </xf>
    <xf numFmtId="0" fontId="46" fillId="0" borderId="0" xfId="0" applyFont="1" applyAlignment="1">
      <alignment horizontal="center"/>
    </xf>
    <xf numFmtId="2" fontId="7" fillId="0" borderId="0" xfId="0" applyNumberFormat="1" applyFont="1" applyAlignment="1">
      <alignment horizontal="right" indent="1"/>
    </xf>
    <xf numFmtId="0" fontId="7" fillId="0" borderId="11" xfId="0" applyFont="1" applyBorder="1" applyAlignment="1">
      <alignment horizontal="center"/>
    </xf>
    <xf numFmtId="2" fontId="7" fillId="0" borderId="11" xfId="0" applyNumberFormat="1" applyFont="1" applyBorder="1" applyAlignment="1">
      <alignment horizontal="right" indent="1"/>
    </xf>
    <xf numFmtId="0" fontId="46" fillId="0" borderId="12" xfId="0" applyFont="1" applyBorder="1"/>
    <xf numFmtId="9" fontId="34" fillId="0" borderId="0" xfId="177" applyNumberFormat="1" applyFont="1" applyFill="1" applyAlignment="1">
      <alignment horizontal="right"/>
    </xf>
    <xf numFmtId="168" fontId="120" fillId="0" borderId="12" xfId="144" applyNumberFormat="1" applyFont="1" applyBorder="1" applyAlignment="1">
      <alignment horizontal="right"/>
    </xf>
    <xf numFmtId="1" fontId="117" fillId="0" borderId="0" xfId="0" applyNumberFormat="1" applyFont="1" applyFill="1" applyBorder="1" applyAlignment="1">
      <alignment horizontal="left" vertical="top" wrapText="1"/>
    </xf>
    <xf numFmtId="4" fontId="121" fillId="0" borderId="0" xfId="37761" applyNumberFormat="1" applyFont="1" applyFill="1" applyBorder="1" applyAlignment="1">
      <alignment horizontal="right" wrapText="1" indent="1"/>
    </xf>
    <xf numFmtId="177" fontId="121" fillId="0" borderId="0" xfId="17981" applyNumberFormat="1" applyFont="1" applyFill="1" applyAlignment="1">
      <alignment horizontal="right" vertical="center" indent="1"/>
    </xf>
    <xf numFmtId="168" fontId="121" fillId="0" borderId="0" xfId="35795" applyNumberFormat="1" applyFont="1" applyFill="1" applyAlignment="1">
      <alignment horizontal="right" vertical="center" indent="1"/>
    </xf>
    <xf numFmtId="0" fontId="7" fillId="0" borderId="0" xfId="37758" applyFont="1" applyBorder="1" applyAlignment="1">
      <alignment horizontal="left" vertical="top" wrapText="1" indent="1"/>
    </xf>
    <xf numFmtId="38" fontId="7" fillId="0" borderId="0" xfId="37766" applyNumberFormat="1" applyFont="1" applyAlignment="1">
      <alignment horizontal="right"/>
    </xf>
    <xf numFmtId="10" fontId="48" fillId="0" borderId="0" xfId="131" applyNumberFormat="1" applyFont="1"/>
    <xf numFmtId="0" fontId="121" fillId="0" borderId="0" xfId="17973" applyFont="1" applyBorder="1"/>
    <xf numFmtId="0" fontId="121" fillId="0" borderId="11" xfId="17973" applyFont="1" applyBorder="1"/>
    <xf numFmtId="0" fontId="121" fillId="0" borderId="0" xfId="17973" applyFont="1" applyBorder="1" applyAlignment="1">
      <alignment horizontal="right" wrapText="1"/>
    </xf>
    <xf numFmtId="2" fontId="121" fillId="0" borderId="0" xfId="37773" applyNumberFormat="1" applyFont="1" applyBorder="1" applyAlignment="1">
      <alignment horizontal="right" vertical="center" wrapText="1"/>
    </xf>
    <xf numFmtId="2" fontId="121" fillId="0" borderId="0" xfId="17973" applyNumberFormat="1" applyFont="1" applyFill="1" applyBorder="1" applyAlignment="1">
      <alignment horizontal="right"/>
    </xf>
    <xf numFmtId="0" fontId="121" fillId="0" borderId="0" xfId="17973" applyFont="1" applyFill="1" applyBorder="1"/>
    <xf numFmtId="2" fontId="121" fillId="0" borderId="0" xfId="17973" applyNumberFormat="1" applyFont="1" applyBorder="1"/>
    <xf numFmtId="0" fontId="7" fillId="0" borderId="0" xfId="17973" applyFont="1" applyAlignment="1">
      <alignment horizontal="right"/>
    </xf>
    <xf numFmtId="0" fontId="7" fillId="0" borderId="0" xfId="17973" applyFont="1" applyFill="1" applyAlignment="1">
      <alignment horizontal="right"/>
    </xf>
    <xf numFmtId="0" fontId="7" fillId="0" borderId="11" xfId="17973" applyFont="1" applyFill="1" applyBorder="1" applyAlignment="1">
      <alignment horizontal="right"/>
    </xf>
    <xf numFmtId="2" fontId="123" fillId="0" borderId="0" xfId="37773" applyNumberFormat="1" applyFont="1" applyBorder="1" applyAlignment="1">
      <alignment horizontal="right" vertical="center" wrapText="1"/>
    </xf>
    <xf numFmtId="179" fontId="7" fillId="0" borderId="12" xfId="17973" applyNumberFormat="1" applyFont="1" applyFill="1" applyBorder="1" applyAlignment="1">
      <alignment horizontal="right"/>
    </xf>
    <xf numFmtId="0" fontId="7" fillId="0" borderId="12" xfId="17973" applyFont="1" applyBorder="1" applyAlignment="1">
      <alignment horizontal="right"/>
    </xf>
    <xf numFmtId="179" fontId="7" fillId="0" borderId="0" xfId="17973" applyNumberFormat="1" applyFont="1" applyFill="1" applyBorder="1" applyAlignment="1">
      <alignment horizontal="right"/>
    </xf>
    <xf numFmtId="0" fontId="7" fillId="0" borderId="0" xfId="17973" applyFont="1" applyFill="1" applyAlignment="1">
      <alignment horizontal="center"/>
    </xf>
    <xf numFmtId="0" fontId="7" fillId="0" borderId="0" xfId="17973" applyFont="1" applyFill="1" applyBorder="1" applyAlignment="1">
      <alignment horizontal="center"/>
    </xf>
    <xf numFmtId="0" fontId="7" fillId="0" borderId="12" xfId="17973" applyFont="1" applyFill="1" applyBorder="1" applyAlignment="1">
      <alignment horizontal="center"/>
    </xf>
    <xf numFmtId="179" fontId="7" fillId="0" borderId="0" xfId="17973" applyNumberFormat="1" applyFont="1" applyFill="1" applyAlignment="1">
      <alignment horizontal="right"/>
    </xf>
    <xf numFmtId="0" fontId="126" fillId="0" borderId="11" xfId="37775" applyFont="1" applyFill="1" applyBorder="1"/>
    <xf numFmtId="0" fontId="121" fillId="0" borderId="11" xfId="17973" applyFont="1" applyFill="1" applyBorder="1"/>
    <xf numFmtId="0" fontId="122" fillId="0" borderId="11" xfId="17973" applyFont="1" applyFill="1" applyBorder="1"/>
    <xf numFmtId="0" fontId="121" fillId="0" borderId="0" xfId="17973" applyFont="1" applyFill="1" applyBorder="1" applyAlignment="1">
      <alignment horizontal="centerContinuous"/>
    </xf>
    <xf numFmtId="179" fontId="121" fillId="0" borderId="0" xfId="17973" applyNumberFormat="1" applyFont="1" applyBorder="1" applyAlignment="1">
      <alignment horizontal="center"/>
    </xf>
    <xf numFmtId="0" fontId="122" fillId="0" borderId="0" xfId="17973" applyNumberFormat="1" applyFont="1" applyFill="1" applyBorder="1" applyAlignment="1">
      <alignment horizontal="right" wrapText="1"/>
    </xf>
    <xf numFmtId="0" fontId="122" fillId="0" borderId="0" xfId="17973" applyFont="1" applyFill="1" applyBorder="1" applyAlignment="1">
      <alignment horizontal="right" wrapText="1"/>
    </xf>
    <xf numFmtId="0" fontId="121" fillId="0" borderId="0" xfId="17973" applyFont="1" applyFill="1" applyBorder="1" applyAlignment="1">
      <alignment horizontal="right" vertical="center" wrapText="1"/>
    </xf>
    <xf numFmtId="0" fontId="121" fillId="0" borderId="0" xfId="17973" applyFont="1" applyFill="1" applyBorder="1" applyAlignment="1">
      <alignment horizontal="right" wrapText="1"/>
    </xf>
    <xf numFmtId="0" fontId="121" fillId="0" borderId="0" xfId="17973" applyFont="1" applyFill="1" applyBorder="1" applyAlignment="1">
      <alignment horizontal="right"/>
    </xf>
    <xf numFmtId="0" fontId="122" fillId="0" borderId="0" xfId="17973" applyNumberFormat="1" applyFont="1" applyFill="1" applyBorder="1" applyAlignment="1">
      <alignment horizontal="right"/>
    </xf>
    <xf numFmtId="0" fontId="122" fillId="0" borderId="0" xfId="17973" applyFont="1" applyFill="1" applyBorder="1" applyAlignment="1">
      <alignment horizontal="right"/>
    </xf>
    <xf numFmtId="17" fontId="121" fillId="0" borderId="0" xfId="17973" applyNumberFormat="1" applyFont="1" applyFill="1" applyBorder="1" applyAlignment="1">
      <alignment horizontal="right" vertical="top"/>
    </xf>
    <xf numFmtId="180" fontId="121" fillId="0" borderId="0" xfId="17973" applyNumberFormat="1" applyFont="1" applyFill="1" applyBorder="1" applyAlignment="1">
      <alignment horizontal="right" vertical="top"/>
    </xf>
    <xf numFmtId="39" fontId="121" fillId="0" borderId="0" xfId="17973" applyNumberFormat="1" applyFont="1" applyFill="1" applyBorder="1" applyAlignment="1">
      <alignment horizontal="right"/>
    </xf>
    <xf numFmtId="176" fontId="121" fillId="0" borderId="0" xfId="4288" applyNumberFormat="1" applyFont="1" applyFill="1" applyBorder="1" applyAlignment="1">
      <alignment horizontal="right"/>
    </xf>
    <xf numFmtId="43" fontId="121" fillId="0" borderId="0" xfId="17973" applyNumberFormat="1" applyFont="1" applyFill="1" applyBorder="1" applyAlignment="1">
      <alignment horizontal="right" vertical="top"/>
    </xf>
    <xf numFmtId="1" fontId="121" fillId="0" borderId="0" xfId="17973" applyNumberFormat="1" applyFont="1" applyFill="1" applyBorder="1" applyAlignment="1">
      <alignment horizontal="right"/>
    </xf>
    <xf numFmtId="43" fontId="121" fillId="0" borderId="0" xfId="17973" applyNumberFormat="1" applyFont="1" applyFill="1" applyBorder="1" applyAlignment="1">
      <alignment horizontal="right"/>
    </xf>
    <xf numFmtId="181" fontId="121" fillId="0" borderId="0" xfId="17973" applyNumberFormat="1" applyFont="1" applyFill="1" applyBorder="1" applyAlignment="1">
      <alignment horizontal="right"/>
    </xf>
    <xf numFmtId="180" fontId="121" fillId="0" borderId="11" xfId="17973" applyNumberFormat="1" applyFont="1" applyFill="1" applyBorder="1"/>
    <xf numFmtId="180" fontId="121" fillId="0" borderId="0" xfId="17973" applyNumberFormat="1" applyFont="1" applyFill="1" applyBorder="1"/>
    <xf numFmtId="179" fontId="121" fillId="0" borderId="0" xfId="17973" applyNumberFormat="1" applyFont="1" applyBorder="1" applyAlignment="1">
      <alignment horizontal="right"/>
    </xf>
    <xf numFmtId="179" fontId="121" fillId="0" borderId="0" xfId="17973" applyNumberFormat="1" applyFont="1" applyFill="1" applyBorder="1" applyAlignment="1">
      <alignment horizontal="right"/>
    </xf>
    <xf numFmtId="168" fontId="121" fillId="0" borderId="0" xfId="17973" applyNumberFormat="1" applyFont="1" applyFill="1" applyBorder="1"/>
    <xf numFmtId="0" fontId="121" fillId="0" borderId="11" xfId="17973" applyFont="1" applyBorder="1" applyAlignment="1"/>
    <xf numFmtId="1" fontId="121" fillId="0" borderId="11" xfId="17973" applyNumberFormat="1" applyFont="1" applyBorder="1" applyAlignment="1"/>
    <xf numFmtId="2" fontId="121" fillId="0" borderId="11" xfId="17973" applyNumberFormat="1" applyFont="1" applyBorder="1" applyAlignment="1"/>
    <xf numFmtId="0" fontId="122" fillId="0" borderId="11" xfId="17973" applyFont="1" applyFill="1" applyBorder="1" applyAlignment="1">
      <alignment horizontal="center"/>
    </xf>
    <xf numFmtId="168" fontId="122" fillId="0" borderId="11" xfId="17973" applyNumberFormat="1" applyFont="1" applyFill="1" applyBorder="1" applyAlignment="1">
      <alignment horizontal="center"/>
    </xf>
    <xf numFmtId="0" fontId="121" fillId="0" borderId="0" xfId="17973" applyFont="1" applyBorder="1" applyAlignment="1"/>
    <xf numFmtId="1" fontId="121" fillId="0" borderId="0" xfId="17973" applyNumberFormat="1" applyFont="1" applyBorder="1" applyAlignment="1"/>
    <xf numFmtId="0" fontId="122" fillId="0" borderId="26" xfId="17973" applyFont="1" applyFill="1" applyBorder="1" applyAlignment="1">
      <alignment horizontal="center"/>
    </xf>
    <xf numFmtId="0" fontId="122" fillId="0" borderId="0" xfId="17973" applyFont="1" applyFill="1" applyBorder="1" applyAlignment="1">
      <alignment horizontal="center"/>
    </xf>
    <xf numFmtId="2" fontId="121" fillId="0" borderId="26" xfId="17973" applyNumberFormat="1" applyFont="1" applyBorder="1" applyAlignment="1"/>
    <xf numFmtId="168" fontId="122" fillId="0" borderId="26" xfId="17973" applyNumberFormat="1" applyFont="1" applyFill="1" applyBorder="1" applyAlignment="1">
      <alignment horizontal="center"/>
    </xf>
    <xf numFmtId="2" fontId="121" fillId="0" borderId="0" xfId="17973" applyNumberFormat="1" applyFont="1" applyBorder="1" applyAlignment="1"/>
    <xf numFmtId="168" fontId="122" fillId="0" borderId="0" xfId="17973" applyNumberFormat="1" applyFont="1" applyFill="1" applyBorder="1" applyAlignment="1">
      <alignment horizontal="center"/>
    </xf>
    <xf numFmtId="0" fontId="121" fillId="0" borderId="12" xfId="17973" applyFont="1" applyBorder="1" applyAlignment="1">
      <alignment horizontal="center" wrapText="1"/>
    </xf>
    <xf numFmtId="0" fontId="121" fillId="0" borderId="0" xfId="17973" applyFont="1" applyBorder="1" applyAlignment="1">
      <alignment horizontal="center"/>
    </xf>
    <xf numFmtId="0" fontId="121" fillId="0" borderId="0" xfId="17973" applyFont="1" applyBorder="1" applyAlignment="1">
      <alignment horizontal="center" wrapText="1"/>
    </xf>
    <xf numFmtId="17" fontId="121" fillId="0" borderId="0" xfId="17973" applyNumberFormat="1" applyFont="1" applyBorder="1"/>
    <xf numFmtId="168" fontId="121" fillId="0" borderId="0" xfId="37773" applyNumberFormat="1" applyFont="1" applyFill="1" applyBorder="1"/>
    <xf numFmtId="2" fontId="121" fillId="0" borderId="11" xfId="17973" applyNumberFormat="1" applyFont="1" applyBorder="1"/>
    <xf numFmtId="168" fontId="121" fillId="0" borderId="11" xfId="17973" applyNumberFormat="1" applyFont="1" applyFill="1" applyBorder="1"/>
    <xf numFmtId="0" fontId="7" fillId="0" borderId="0" xfId="17973" applyFont="1"/>
    <xf numFmtId="179" fontId="121" fillId="0" borderId="0" xfId="17973" applyNumberFormat="1" applyFont="1" applyBorder="1"/>
    <xf numFmtId="0" fontId="45" fillId="0" borderId="0" xfId="17973" applyFont="1" applyAlignment="1">
      <alignment horizontal="centerContinuous"/>
    </xf>
    <xf numFmtId="0" fontId="7" fillId="0" borderId="0" xfId="17973" applyFont="1" applyBorder="1" applyAlignment="1">
      <alignment horizontal="centerContinuous"/>
    </xf>
    <xf numFmtId="0" fontId="7" fillId="0" borderId="0" xfId="17973" applyFont="1" applyAlignment="1">
      <alignment horizontal="centerContinuous"/>
    </xf>
    <xf numFmtId="0" fontId="45" fillId="0" borderId="0" xfId="17973" applyFont="1" applyBorder="1" applyAlignment="1"/>
    <xf numFmtId="0" fontId="138" fillId="0" borderId="0" xfId="17973" applyFont="1" applyBorder="1" applyAlignment="1">
      <alignment horizontal="centerContinuous"/>
    </xf>
    <xf numFmtId="0" fontId="45" fillId="0" borderId="0" xfId="17973" applyFont="1" applyBorder="1" applyAlignment="1">
      <alignment horizontal="centerContinuous"/>
    </xf>
    <xf numFmtId="0" fontId="23" fillId="0" borderId="0" xfId="17973" applyFont="1" applyAlignment="1"/>
    <xf numFmtId="0" fontId="121" fillId="0" borderId="0" xfId="37774" applyFont="1" applyFill="1"/>
    <xf numFmtId="0" fontId="121" fillId="0" borderId="0" xfId="37774" applyFont="1" applyFill="1" applyAlignment="1">
      <alignment horizontal="right"/>
    </xf>
    <xf numFmtId="0" fontId="23" fillId="0" borderId="0" xfId="17973" applyFont="1" applyFill="1" applyAlignment="1"/>
    <xf numFmtId="0" fontId="138" fillId="0" borderId="0" xfId="37774" applyFont="1" applyFill="1" applyAlignment="1">
      <alignment horizontal="centerContinuous"/>
    </xf>
    <xf numFmtId="0" fontId="121" fillId="0" borderId="0" xfId="37774" applyFont="1" applyFill="1" applyAlignment="1">
      <alignment horizontal="centerContinuous"/>
    </xf>
    <xf numFmtId="0" fontId="121" fillId="0" borderId="11" xfId="37774" applyFont="1" applyFill="1" applyBorder="1" applyAlignment="1">
      <alignment horizontal="right"/>
    </xf>
    <xf numFmtId="0" fontId="121" fillId="0" borderId="12" xfId="37774" applyFont="1" applyFill="1" applyBorder="1" applyAlignment="1">
      <alignment horizontal="right"/>
    </xf>
    <xf numFmtId="17" fontId="121" fillId="0" borderId="0" xfId="37774" applyNumberFormat="1" applyFont="1" applyFill="1" applyAlignment="1">
      <alignment horizontal="right"/>
    </xf>
    <xf numFmtId="168" fontId="121" fillId="0" borderId="0" xfId="37774" applyNumberFormat="1" applyFont="1" applyFill="1" applyAlignment="1">
      <alignment horizontal="right"/>
    </xf>
    <xf numFmtId="2" fontId="121" fillId="0" borderId="0" xfId="37774" applyNumberFormat="1" applyFont="1" applyFill="1"/>
    <xf numFmtId="0" fontId="46" fillId="0" borderId="0" xfId="17973" applyFont="1" applyFill="1" applyAlignment="1">
      <alignment horizontal="center" vertical="top"/>
    </xf>
    <xf numFmtId="0" fontId="46" fillId="0" borderId="0" xfId="17973" applyFont="1" applyFill="1" applyAlignment="1">
      <alignment horizontal="right" vertical="top"/>
    </xf>
    <xf numFmtId="0" fontId="46" fillId="0" borderId="0" xfId="17973" applyFont="1" applyFill="1" applyAlignment="1">
      <alignment horizontal="right" vertical="top" wrapText="1"/>
    </xf>
    <xf numFmtId="0" fontId="138" fillId="0" borderId="0" xfId="17973" applyFont="1" applyFill="1" applyBorder="1" applyAlignment="1">
      <alignment horizontal="centerContinuous"/>
    </xf>
    <xf numFmtId="180" fontId="121" fillId="0" borderId="0" xfId="17973" applyNumberFormat="1" applyFont="1" applyFill="1" applyBorder="1" applyAlignment="1">
      <alignment horizontal="centerContinuous"/>
    </xf>
    <xf numFmtId="0" fontId="122" fillId="0" borderId="0" xfId="17973" applyNumberFormat="1" applyFont="1" applyFill="1" applyBorder="1" applyAlignment="1">
      <alignment horizontal="right" vertical="top" wrapText="1"/>
    </xf>
    <xf numFmtId="0" fontId="122" fillId="0" borderId="0" xfId="17973" applyFont="1" applyFill="1" applyBorder="1" applyAlignment="1">
      <alignment horizontal="right" vertical="top" wrapText="1"/>
    </xf>
    <xf numFmtId="176" fontId="121" fillId="0" borderId="0" xfId="4288" quotePrefix="1" applyNumberFormat="1" applyFont="1" applyFill="1" applyBorder="1" applyAlignment="1">
      <alignment horizontal="right"/>
    </xf>
    <xf numFmtId="176" fontId="63" fillId="0" borderId="0" xfId="4288" applyNumberFormat="1" applyFont="1" applyFill="1" applyBorder="1" applyAlignment="1">
      <alignment horizontal="right"/>
    </xf>
    <xf numFmtId="0" fontId="121" fillId="78" borderId="0" xfId="17973" applyFont="1" applyFill="1" applyBorder="1"/>
    <xf numFmtId="0" fontId="121" fillId="78" borderId="0" xfId="17973" applyFont="1" applyFill="1" applyBorder="1" applyAlignment="1">
      <alignment horizontal="right" wrapText="1"/>
    </xf>
    <xf numFmtId="0" fontId="121" fillId="78" borderId="0" xfId="17973" applyFont="1" applyFill="1" applyBorder="1" applyAlignment="1">
      <alignment horizontal="right"/>
    </xf>
    <xf numFmtId="0" fontId="122" fillId="0" borderId="0" xfId="17973" applyFont="1" applyBorder="1" applyAlignment="1">
      <alignment horizontal="right" vertical="top" wrapText="1"/>
    </xf>
    <xf numFmtId="2" fontId="120" fillId="0" borderId="0" xfId="37772" applyNumberFormat="1" applyFont="1" applyBorder="1"/>
    <xf numFmtId="2" fontId="144" fillId="0" borderId="0" xfId="17973" applyNumberFormat="1" applyFont="1" applyBorder="1"/>
    <xf numFmtId="0" fontId="121" fillId="30" borderId="0" xfId="17973" applyFont="1" applyFill="1" applyBorder="1"/>
    <xf numFmtId="0" fontId="7" fillId="30" borderId="0" xfId="0" applyFont="1" applyFill="1"/>
    <xf numFmtId="0" fontId="121" fillId="30" borderId="0" xfId="17973" applyFont="1" applyFill="1" applyBorder="1" applyAlignment="1">
      <alignment horizontal="center" wrapText="1"/>
    </xf>
    <xf numFmtId="14" fontId="45" fillId="0" borderId="0" xfId="17973" applyNumberFormat="1" applyFont="1" applyBorder="1" applyAlignment="1"/>
    <xf numFmtId="168" fontId="120" fillId="0" borderId="0" xfId="37773" applyNumberFormat="1" applyFont="1" applyFill="1" applyBorder="1"/>
    <xf numFmtId="168" fontId="120" fillId="0" borderId="0" xfId="17973" applyNumberFormat="1" applyFont="1" applyFill="1" applyBorder="1"/>
    <xf numFmtId="0" fontId="121" fillId="0" borderId="0" xfId="37766" applyFont="1" applyFill="1" applyAlignment="1">
      <alignment horizontal="center"/>
    </xf>
    <xf numFmtId="0" fontId="122" fillId="0" borderId="0" xfId="37766" applyFont="1" applyAlignment="1">
      <alignment horizontal="center" vertical="center"/>
    </xf>
    <xf numFmtId="0" fontId="122" fillId="0" borderId="12" xfId="37766" applyFont="1" applyBorder="1" applyAlignment="1">
      <alignment horizontal="center"/>
    </xf>
    <xf numFmtId="0" fontId="122" fillId="0" borderId="0" xfId="37766" applyFont="1" applyAlignment="1">
      <alignment horizontal="center"/>
    </xf>
    <xf numFmtId="0" fontId="7" fillId="0" borderId="0" xfId="37768" applyFont="1" applyFill="1" applyAlignment="1">
      <alignment horizontal="center"/>
    </xf>
    <xf numFmtId="0" fontId="121" fillId="0" borderId="12" xfId="37766" applyFont="1" applyFill="1" applyBorder="1" applyAlignment="1">
      <alignment horizontal="center"/>
    </xf>
    <xf numFmtId="0" fontId="123" fillId="0" borderId="0" xfId="37766" applyFont="1" applyAlignment="1">
      <alignment horizontal="center"/>
    </xf>
    <xf numFmtId="2" fontId="63" fillId="0" borderId="0" xfId="37766" applyNumberFormat="1" applyFont="1" applyFill="1" applyAlignment="1">
      <alignment horizontal="right"/>
    </xf>
    <xf numFmtId="2" fontId="121" fillId="0" borderId="0" xfId="37766" applyNumberFormat="1" applyFont="1" applyFill="1" applyAlignment="1">
      <alignment horizontal="right"/>
    </xf>
    <xf numFmtId="2" fontId="7" fillId="0" borderId="0" xfId="37766" applyNumberFormat="1" applyFont="1" applyFill="1" applyAlignment="1">
      <alignment horizontal="right"/>
    </xf>
    <xf numFmtId="2" fontId="131" fillId="0" borderId="0" xfId="37766" applyNumberFormat="1" applyFont="1" applyFill="1" applyAlignment="1">
      <alignment horizontal="right"/>
    </xf>
    <xf numFmtId="2" fontId="63" fillId="0" borderId="12" xfId="37766" applyNumberFormat="1" applyFont="1" applyFill="1" applyBorder="1" applyAlignment="1">
      <alignment horizontal="right"/>
    </xf>
    <xf numFmtId="2" fontId="68" fillId="0" borderId="0" xfId="37766" applyNumberFormat="1" applyFont="1" applyAlignment="1">
      <alignment horizontal="right"/>
    </xf>
    <xf numFmtId="2" fontId="63" fillId="0" borderId="0" xfId="37767" applyNumberFormat="1" applyFont="1" applyAlignment="1">
      <alignment horizontal="right"/>
    </xf>
    <xf numFmtId="2" fontId="131" fillId="0" borderId="0" xfId="37767" applyNumberFormat="1" applyFont="1" applyAlignment="1">
      <alignment horizontal="right"/>
    </xf>
    <xf numFmtId="2" fontId="68" fillId="0" borderId="0" xfId="37766" applyNumberFormat="1" applyFont="1" applyFill="1" applyAlignment="1">
      <alignment horizontal="right"/>
    </xf>
    <xf numFmtId="0" fontId="121" fillId="0" borderId="0" xfId="17973" applyFont="1" applyFill="1" applyBorder="1" applyAlignment="1">
      <alignment horizontal="center" wrapText="1"/>
    </xf>
    <xf numFmtId="0" fontId="121" fillId="0" borderId="26" xfId="17973" applyFont="1" applyBorder="1" applyAlignment="1"/>
    <xf numFmtId="0" fontId="122" fillId="0" borderId="0" xfId="17973" applyFont="1" applyFill="1" applyBorder="1" applyAlignment="1">
      <alignment horizontal="centerContinuous"/>
    </xf>
    <xf numFmtId="168" fontId="122" fillId="0" borderId="0" xfId="17973" applyNumberFormat="1" applyFont="1" applyFill="1" applyBorder="1" applyAlignment="1">
      <alignment horizontal="centerContinuous"/>
    </xf>
    <xf numFmtId="168" fontId="121" fillId="0" borderId="0" xfId="17973" applyNumberFormat="1" applyFont="1" applyFill="1" applyBorder="1" applyAlignment="1">
      <alignment horizontal="centerContinuous"/>
    </xf>
    <xf numFmtId="0" fontId="121" fillId="30" borderId="0" xfId="17973" applyFont="1" applyFill="1" applyBorder="1" applyAlignment="1">
      <alignment horizontal="center" vertical="top" wrapText="1"/>
    </xf>
    <xf numFmtId="0" fontId="121" fillId="0" borderId="0" xfId="17973" applyFont="1" applyFill="1" applyBorder="1" applyAlignment="1">
      <alignment horizontal="center" vertical="top" wrapText="1"/>
    </xf>
    <xf numFmtId="0" fontId="121" fillId="0" borderId="0" xfId="17973" applyFont="1" applyBorder="1" applyAlignment="1">
      <alignment horizontal="center" vertical="top"/>
    </xf>
    <xf numFmtId="0" fontId="121" fillId="0" borderId="0" xfId="17973" applyFont="1" applyBorder="1" applyAlignment="1">
      <alignment horizontal="center" vertical="top" wrapText="1"/>
    </xf>
    <xf numFmtId="179" fontId="121" fillId="0" borderId="0" xfId="17973" applyNumberFormat="1" applyFont="1" applyBorder="1" applyAlignment="1">
      <alignment horizontal="center" wrapText="1"/>
    </xf>
    <xf numFmtId="179" fontId="121" fillId="0" borderId="12" xfId="17973" applyNumberFormat="1" applyFont="1" applyBorder="1" applyAlignment="1">
      <alignment horizontal="center"/>
    </xf>
    <xf numFmtId="179" fontId="121" fillId="0" borderId="12" xfId="17973" applyNumberFormat="1" applyFont="1" applyBorder="1" applyAlignment="1">
      <alignment horizontal="center" wrapText="1"/>
    </xf>
    <xf numFmtId="0" fontId="121" fillId="0" borderId="0" xfId="17973" applyFont="1" applyBorder="1" applyAlignment="1">
      <alignment horizontal="right" vertical="top" wrapText="1"/>
    </xf>
    <xf numFmtId="0" fontId="121" fillId="0" borderId="0" xfId="37773" applyFont="1" applyBorder="1" applyAlignment="1">
      <alignment horizontal="right" vertical="top" wrapText="1"/>
    </xf>
    <xf numFmtId="0" fontId="121" fillId="0" borderId="0" xfId="37773" applyFont="1" applyFill="1" applyBorder="1" applyAlignment="1">
      <alignment horizontal="right" vertical="top" wrapText="1"/>
    </xf>
    <xf numFmtId="179" fontId="121" fillId="0" borderId="0" xfId="17973" applyNumberFormat="1" applyFont="1" applyBorder="1" applyAlignment="1">
      <alignment horizontal="right" wrapText="1"/>
    </xf>
    <xf numFmtId="2" fontId="144" fillId="0" borderId="0" xfId="17973" applyNumberFormat="1" applyFont="1" applyFill="1" applyAlignment="1">
      <alignment horizontal="right" indent="1"/>
    </xf>
    <xf numFmtId="2" fontId="144" fillId="0" borderId="12" xfId="17973" applyNumberFormat="1" applyFont="1" applyFill="1" applyBorder="1" applyAlignment="1">
      <alignment horizontal="right" indent="1"/>
    </xf>
    <xf numFmtId="2" fontId="144" fillId="0" borderId="0" xfId="17973" applyNumberFormat="1" applyFont="1" applyFill="1" applyBorder="1" applyAlignment="1">
      <alignment horizontal="right" indent="1"/>
    </xf>
    <xf numFmtId="168" fontId="7" fillId="0" borderId="12" xfId="131" applyNumberFormat="1" applyFont="1" applyFill="1" applyBorder="1" applyAlignment="1">
      <alignment horizontal="right"/>
    </xf>
    <xf numFmtId="168" fontId="46" fillId="0" borderId="0" xfId="131" applyNumberFormat="1" applyFont="1" applyFill="1" applyAlignment="1">
      <alignment horizontal="right"/>
    </xf>
    <xf numFmtId="168" fontId="53" fillId="0" borderId="0" xfId="131" applyNumberFormat="1" applyFont="1" applyFill="1" applyBorder="1"/>
    <xf numFmtId="168" fontId="52" fillId="0" borderId="0" xfId="131" applyNumberFormat="1" applyFont="1" applyFill="1" applyBorder="1"/>
    <xf numFmtId="168" fontId="7" fillId="0" borderId="0" xfId="131" quotePrefix="1" applyNumberFormat="1" applyFont="1" applyFill="1" applyBorder="1" applyAlignment="1">
      <alignment horizontal="right"/>
    </xf>
    <xf numFmtId="0" fontId="8" fillId="0" borderId="0" xfId="17973"/>
    <xf numFmtId="43" fontId="8" fillId="0" borderId="0" xfId="17973" applyNumberFormat="1"/>
    <xf numFmtId="0" fontId="7" fillId="0" borderId="0" xfId="37768" applyFill="1"/>
    <xf numFmtId="0" fontId="121" fillId="0" borderId="0" xfId="37880" applyFont="1" applyAlignment="1">
      <alignment horizontal="left"/>
    </xf>
    <xf numFmtId="0" fontId="62" fillId="0" borderId="0" xfId="37768" applyFont="1" applyFill="1" applyBorder="1"/>
    <xf numFmtId="0" fontId="7" fillId="0" borderId="0" xfId="37768" applyFont="1" applyFill="1"/>
    <xf numFmtId="0" fontId="121" fillId="0" borderId="11" xfId="37881" applyFont="1" applyBorder="1"/>
    <xf numFmtId="0" fontId="121" fillId="0" borderId="0" xfId="37881" applyFont="1"/>
    <xf numFmtId="0" fontId="121" fillId="0" borderId="0" xfId="37881" applyFont="1" applyAlignment="1">
      <alignment horizontal="center"/>
    </xf>
    <xf numFmtId="176" fontId="7" fillId="0" borderId="0" xfId="37840" applyNumberFormat="1" applyFont="1"/>
    <xf numFmtId="1" fontId="8" fillId="0" borderId="0" xfId="17973" applyNumberFormat="1"/>
    <xf numFmtId="176" fontId="117" fillId="0" borderId="0" xfId="37840" applyNumberFormat="1" applyFont="1"/>
    <xf numFmtId="164" fontId="7" fillId="0" borderId="0" xfId="37882" applyNumberFormat="1" applyFont="1" applyAlignment="1">
      <alignment horizontal="right"/>
    </xf>
    <xf numFmtId="164" fontId="0" fillId="0" borderId="0" xfId="37882" applyNumberFormat="1" applyFont="1"/>
    <xf numFmtId="0" fontId="7" fillId="0" borderId="0" xfId="37768" applyFont="1" applyFill="1" applyAlignment="1">
      <alignment horizontal="left"/>
    </xf>
    <xf numFmtId="0" fontId="121" fillId="0" borderId="12" xfId="37881" applyFont="1" applyBorder="1"/>
    <xf numFmtId="0" fontId="121" fillId="0" borderId="12" xfId="37881" applyFont="1" applyBorder="1" applyAlignment="1">
      <alignment horizontal="center"/>
    </xf>
    <xf numFmtId="164" fontId="117" fillId="0" borderId="12" xfId="37882" applyNumberFormat="1" applyFont="1" applyBorder="1" applyAlignment="1">
      <alignment horizontal="right"/>
    </xf>
    <xf numFmtId="164" fontId="117" fillId="0" borderId="0" xfId="37882" applyNumberFormat="1" applyFont="1" applyAlignment="1">
      <alignment horizontal="right"/>
    </xf>
    <xf numFmtId="0" fontId="123" fillId="0" borderId="0" xfId="37881" applyFont="1"/>
    <xf numFmtId="0" fontId="123" fillId="0" borderId="0" xfId="37881" applyFont="1" applyAlignment="1">
      <alignment horizontal="center"/>
    </xf>
    <xf numFmtId="2" fontId="131" fillId="0" borderId="0" xfId="37881" applyNumberFormat="1" applyFont="1"/>
    <xf numFmtId="2" fontId="8" fillId="0" borderId="0" xfId="17973" applyNumberFormat="1"/>
    <xf numFmtId="0" fontId="121" fillId="0" borderId="0" xfId="37881" applyFont="1" applyAlignment="1">
      <alignment horizontal="left" indent="1"/>
    </xf>
    <xf numFmtId="2" fontId="7" fillId="0" borderId="0" xfId="37881" applyNumberFormat="1" applyFont="1"/>
    <xf numFmtId="2" fontId="63" fillId="0" borderId="0" xfId="37881" applyNumberFormat="1" applyFont="1"/>
    <xf numFmtId="165" fontId="117" fillId="0" borderId="12" xfId="37881" applyNumberFormat="1" applyFont="1" applyBorder="1"/>
    <xf numFmtId="165" fontId="117" fillId="0" borderId="0" xfId="37881" applyNumberFormat="1" applyFont="1"/>
    <xf numFmtId="0" fontId="122" fillId="0" borderId="0" xfId="37881" applyFont="1"/>
    <xf numFmtId="0" fontId="122" fillId="0" borderId="0" xfId="37881" applyFont="1" applyAlignment="1">
      <alignment horizontal="center"/>
    </xf>
    <xf numFmtId="2" fontId="137" fillId="0" borderId="0" xfId="37881" applyNumberFormat="1" applyFont="1"/>
    <xf numFmtId="0" fontId="8" fillId="0" borderId="0" xfId="17973" applyBorder="1"/>
    <xf numFmtId="0" fontId="7" fillId="0" borderId="0" xfId="37881" applyFont="1" applyFill="1" applyBorder="1" applyAlignment="1">
      <alignment horizontal="left" vertical="center" wrapText="1"/>
    </xf>
    <xf numFmtId="0" fontId="7" fillId="0" borderId="11" xfId="37881" applyFont="1" applyFill="1" applyBorder="1" applyAlignment="1">
      <alignment horizontal="left" vertical="center" wrapText="1"/>
    </xf>
    <xf numFmtId="0" fontId="146" fillId="0" borderId="0" xfId="37881" applyFont="1" applyFill="1" applyBorder="1" applyAlignment="1">
      <alignment horizontal="left" vertical="center" wrapText="1"/>
    </xf>
    <xf numFmtId="0" fontId="46" fillId="0" borderId="12" xfId="37881" applyFont="1" applyFill="1" applyBorder="1" applyAlignment="1">
      <alignment horizontal="left" vertical="center" wrapText="1"/>
    </xf>
    <xf numFmtId="0" fontId="7" fillId="0" borderId="0" xfId="37881" applyFont="1" applyFill="1" applyBorder="1" applyAlignment="1">
      <alignment horizontal="left" vertical="top" wrapText="1"/>
    </xf>
    <xf numFmtId="182" fontId="90" fillId="100" borderId="0" xfId="37881" applyNumberFormat="1" applyFont="1" applyFill="1" applyBorder="1" applyAlignment="1">
      <alignment horizontal="left" vertical="top" wrapText="1"/>
    </xf>
    <xf numFmtId="0" fontId="7" fillId="0" borderId="0" xfId="37881" applyFont="1" applyFill="1" applyBorder="1" applyAlignment="1">
      <alignment vertical="top" wrapText="1"/>
    </xf>
    <xf numFmtId="0" fontId="90" fillId="100" borderId="0" xfId="37881" applyFont="1" applyFill="1" applyBorder="1" applyAlignment="1">
      <alignment horizontal="left" vertical="top" wrapText="1"/>
    </xf>
    <xf numFmtId="0" fontId="7" fillId="0" borderId="11" xfId="37881" applyFont="1" applyFill="1" applyBorder="1" applyAlignment="1">
      <alignment horizontal="center" vertical="center" wrapText="1"/>
    </xf>
    <xf numFmtId="0" fontId="46" fillId="0" borderId="0" xfId="37881" applyFont="1" applyFill="1" applyBorder="1" applyAlignment="1">
      <alignment horizontal="left" vertical="center" wrapText="1"/>
    </xf>
    <xf numFmtId="0" fontId="7" fillId="0" borderId="0" xfId="37881" applyFont="1" applyFill="1" applyAlignment="1">
      <alignment horizontal="left" indent="3"/>
    </xf>
    <xf numFmtId="0" fontId="7" fillId="0" borderId="0" xfId="37881" applyFont="1" applyFill="1" applyAlignment="1">
      <alignment vertical="center"/>
    </xf>
    <xf numFmtId="0" fontId="7" fillId="0" borderId="0" xfId="37881" applyFont="1" applyFill="1" applyBorder="1" applyAlignment="1">
      <alignment horizontal="left" vertical="center" indent="4"/>
    </xf>
    <xf numFmtId="0" fontId="7" fillId="0" borderId="0" xfId="37881" applyFont="1" applyFill="1" applyAlignment="1">
      <alignment horizontal="left" indent="4"/>
    </xf>
    <xf numFmtId="0" fontId="121" fillId="78" borderId="0" xfId="37881" applyFont="1" applyFill="1"/>
    <xf numFmtId="0" fontId="121" fillId="0" borderId="0" xfId="37881" applyFont="1" applyFill="1"/>
    <xf numFmtId="3" fontId="120" fillId="0" borderId="0" xfId="37881" applyNumberFormat="1" applyFont="1" applyFill="1"/>
    <xf numFmtId="0" fontId="148" fillId="0" borderId="0" xfId="37881" applyFont="1" applyAlignment="1">
      <alignment horizontal="center"/>
    </xf>
    <xf numFmtId="0" fontId="122" fillId="0" borderId="0" xfId="37881" applyFont="1" applyFill="1" applyAlignment="1">
      <alignment vertical="top"/>
    </xf>
    <xf numFmtId="3" fontId="120" fillId="101" borderId="0" xfId="37881" applyNumberFormat="1" applyFont="1" applyFill="1" applyAlignment="1">
      <alignment horizontal="center"/>
    </xf>
    <xf numFmtId="0" fontId="121" fillId="0" borderId="0" xfId="37881" applyFont="1" applyFill="1" applyBorder="1" applyAlignment="1">
      <alignment horizontal="center" vertical="center" wrapText="1"/>
    </xf>
    <xf numFmtId="0" fontId="121" fillId="0" borderId="0" xfId="37881" applyFont="1" applyBorder="1" applyAlignment="1">
      <alignment horizontal="center"/>
    </xf>
    <xf numFmtId="0" fontId="149" fillId="0" borderId="0" xfId="37881" applyFont="1" applyAlignment="1">
      <alignment horizontal="right"/>
    </xf>
    <xf numFmtId="0" fontId="148" fillId="0" borderId="0" xfId="37881" quotePrefix="1" applyFont="1" applyAlignment="1">
      <alignment horizontal="center"/>
    </xf>
    <xf numFmtId="0" fontId="121" fillId="0" borderId="0" xfId="37881" applyFont="1" applyAlignment="1">
      <alignment horizontal="right"/>
    </xf>
    <xf numFmtId="0" fontId="121" fillId="0" borderId="0" xfId="37881" applyFont="1" applyFill="1" applyAlignment="1">
      <alignment horizontal="right"/>
    </xf>
    <xf numFmtId="2" fontId="121" fillId="78" borderId="0" xfId="37881" applyNumberFormat="1" applyFont="1" applyFill="1" applyAlignment="1">
      <alignment horizontal="center"/>
    </xf>
    <xf numFmtId="183" fontId="117" fillId="0" borderId="0" xfId="37881" applyNumberFormat="1" applyFont="1" applyFill="1" applyAlignment="1">
      <alignment horizontal="right" indent="2"/>
    </xf>
    <xf numFmtId="0" fontId="51" fillId="78" borderId="0" xfId="37881" applyFont="1" applyFill="1" applyAlignment="1">
      <alignment horizontal="center"/>
    </xf>
    <xf numFmtId="0" fontId="51" fillId="0" borderId="0" xfId="37881" applyFont="1" applyFill="1" applyAlignment="1">
      <alignment horizontal="center"/>
    </xf>
    <xf numFmtId="0" fontId="62" fillId="78" borderId="0" xfId="37881" applyFont="1" applyFill="1" applyAlignment="1">
      <alignment horizontal="right"/>
    </xf>
    <xf numFmtId="0" fontId="62" fillId="0" borderId="0" xfId="37881" applyFont="1" applyFill="1" applyAlignment="1">
      <alignment horizontal="right"/>
    </xf>
    <xf numFmtId="3" fontId="63" fillId="0" borderId="0" xfId="37881" applyNumberFormat="1" applyFont="1" applyFill="1"/>
    <xf numFmtId="166" fontId="68" fillId="0" borderId="0" xfId="37881" applyNumberFormat="1" applyFont="1" applyAlignment="1">
      <alignment horizontal="right" indent="2"/>
    </xf>
    <xf numFmtId="168" fontId="121" fillId="0" borderId="0" xfId="37881" applyNumberFormat="1" applyFont="1" applyAlignment="1">
      <alignment horizontal="center"/>
    </xf>
    <xf numFmtId="0" fontId="121" fillId="78" borderId="0" xfId="37881" applyFont="1" applyFill="1" applyBorder="1"/>
    <xf numFmtId="176" fontId="121" fillId="78" borderId="0" xfId="37884" applyNumberFormat="1" applyFont="1" applyFill="1" applyBorder="1" applyAlignment="1">
      <alignment horizontal="center"/>
    </xf>
    <xf numFmtId="0" fontId="7" fillId="0" borderId="0" xfId="37881" applyFont="1"/>
    <xf numFmtId="176" fontId="121" fillId="0" borderId="0" xfId="37884" applyNumberFormat="1" applyFont="1" applyFill="1" applyBorder="1" applyAlignment="1">
      <alignment horizontal="center"/>
    </xf>
    <xf numFmtId="176" fontId="121" fillId="0" borderId="0" xfId="37884" applyNumberFormat="1" applyFont="1" applyBorder="1" applyAlignment="1">
      <alignment horizontal="center"/>
    </xf>
    <xf numFmtId="0" fontId="121" fillId="0" borderId="0" xfId="37881" applyFont="1" applyBorder="1"/>
    <xf numFmtId="17" fontId="7" fillId="0" borderId="0" xfId="37881" quotePrefix="1" applyNumberFormat="1" applyFont="1"/>
    <xf numFmtId="0" fontId="46" fillId="0" borderId="0" xfId="37881" applyFont="1"/>
    <xf numFmtId="0" fontId="7" fillId="0" borderId="0" xfId="37881" applyFont="1" applyFill="1" applyBorder="1"/>
    <xf numFmtId="176" fontId="121" fillId="0" borderId="0" xfId="37884" applyNumberFormat="1" applyFont="1" applyBorder="1"/>
    <xf numFmtId="176" fontId="122" fillId="0" borderId="0" xfId="37884" applyNumberFormat="1" applyFont="1" applyBorder="1" applyAlignment="1">
      <alignment wrapText="1"/>
    </xf>
    <xf numFmtId="176" fontId="121" fillId="0" borderId="0" xfId="37884" applyNumberFormat="1" applyFont="1" applyBorder="1" applyAlignment="1">
      <alignment wrapText="1"/>
    </xf>
    <xf numFmtId="0" fontId="46" fillId="0" borderId="0" xfId="37881" applyFont="1" applyBorder="1" applyAlignment="1">
      <alignment horizontal="center" vertical="center" wrapText="1"/>
    </xf>
    <xf numFmtId="176" fontId="7" fillId="0" borderId="0" xfId="37884" applyNumberFormat="1" applyFont="1" applyBorder="1" applyAlignment="1">
      <alignment horizontal="left" wrapText="1"/>
    </xf>
    <xf numFmtId="184" fontId="121" fillId="0" borderId="0" xfId="37885" applyNumberFormat="1" applyFont="1" applyBorder="1"/>
    <xf numFmtId="176" fontId="121" fillId="0" borderId="0" xfId="37884" applyNumberFormat="1" applyFont="1" applyBorder="1" applyAlignment="1">
      <alignment horizontal="left" wrapText="1"/>
    </xf>
    <xf numFmtId="184" fontId="7" fillId="0" borderId="0" xfId="37885" applyNumberFormat="1" applyFont="1" applyFill="1" applyBorder="1"/>
    <xf numFmtId="176" fontId="123" fillId="0" borderId="0" xfId="37884" applyNumberFormat="1" applyFont="1" applyBorder="1" applyAlignment="1">
      <alignment horizontal="left" wrapText="1"/>
    </xf>
    <xf numFmtId="176" fontId="7" fillId="0" borderId="0" xfId="37884" applyNumberFormat="1" applyFont="1" applyFill="1" applyBorder="1"/>
    <xf numFmtId="43" fontId="121" fillId="0" borderId="0" xfId="37884" applyNumberFormat="1" applyFont="1" applyBorder="1"/>
    <xf numFmtId="176" fontId="122" fillId="0" borderId="0" xfId="37884" applyNumberFormat="1" applyFont="1" applyBorder="1" applyAlignment="1"/>
    <xf numFmtId="184" fontId="122" fillId="0" borderId="0" xfId="37885" applyNumberFormat="1" applyFont="1" applyBorder="1"/>
    <xf numFmtId="176" fontId="121" fillId="0" borderId="0" xfId="37884" applyNumberFormat="1" applyFont="1" applyFill="1" applyBorder="1" applyAlignment="1">
      <alignment horizontal="left" wrapText="1"/>
    </xf>
    <xf numFmtId="176" fontId="51" fillId="0" borderId="0" xfId="37884" applyNumberFormat="1" applyFont="1" applyBorder="1" applyAlignment="1">
      <alignment horizontal="left" wrapText="1"/>
    </xf>
    <xf numFmtId="184" fontId="121" fillId="0" borderId="0" xfId="37881" applyNumberFormat="1" applyFont="1" applyBorder="1"/>
    <xf numFmtId="176" fontId="121" fillId="0" borderId="0" xfId="37884" quotePrefix="1" applyNumberFormat="1" applyFont="1" applyBorder="1" applyAlignment="1">
      <alignment horizontal="right"/>
    </xf>
    <xf numFmtId="0" fontId="7" fillId="0" borderId="0" xfId="37881" applyFont="1" applyBorder="1"/>
    <xf numFmtId="0" fontId="121" fillId="78" borderId="0" xfId="37881" applyFont="1" applyFill="1" applyAlignment="1">
      <alignment horizontal="left"/>
    </xf>
    <xf numFmtId="0" fontId="46" fillId="0" borderId="11" xfId="37881" applyFont="1" applyBorder="1"/>
    <xf numFmtId="0" fontId="121" fillId="0" borderId="11" xfId="37881" applyFont="1" applyBorder="1" applyAlignment="1">
      <alignment horizontal="right"/>
    </xf>
    <xf numFmtId="0" fontId="121" fillId="78" borderId="0" xfId="37881" applyFont="1" applyFill="1" applyAlignment="1">
      <alignment horizontal="left" vertical="top"/>
    </xf>
    <xf numFmtId="0" fontId="121" fillId="0" borderId="0" xfId="37881" applyFont="1" applyAlignment="1">
      <alignment vertical="top"/>
    </xf>
    <xf numFmtId="0" fontId="121" fillId="0" borderId="0" xfId="37881" applyFont="1" applyAlignment="1">
      <alignment horizontal="right" vertical="top" wrapText="1"/>
    </xf>
    <xf numFmtId="0" fontId="121" fillId="0" borderId="12" xfId="37881" applyFont="1" applyBorder="1" applyAlignment="1">
      <alignment vertical="top"/>
    </xf>
    <xf numFmtId="0" fontId="121" fillId="0" borderId="12" xfId="37881" applyFont="1" applyBorder="1" applyAlignment="1">
      <alignment horizontal="right" vertical="top" wrapText="1"/>
    </xf>
    <xf numFmtId="6" fontId="121" fillId="0" borderId="0" xfId="37881" applyNumberFormat="1" applyFont="1" applyAlignment="1">
      <alignment horizontal="right"/>
    </xf>
    <xf numFmtId="0" fontId="149" fillId="0" borderId="0" xfId="37881" applyFont="1"/>
    <xf numFmtId="6" fontId="149" fillId="0" borderId="0" xfId="37881" applyNumberFormat="1" applyFont="1" applyAlignment="1">
      <alignment horizontal="right"/>
    </xf>
    <xf numFmtId="3" fontId="122" fillId="0" borderId="0" xfId="37881" applyNumberFormat="1" applyFont="1" applyAlignment="1">
      <alignment horizontal="right"/>
    </xf>
    <xf numFmtId="3" fontId="121" fillId="0" borderId="0" xfId="37881" applyNumberFormat="1" applyFont="1" applyAlignment="1">
      <alignment horizontal="right"/>
    </xf>
    <xf numFmtId="0" fontId="121" fillId="0" borderId="0" xfId="37881" applyFont="1" applyAlignment="1">
      <alignment horizontal="left"/>
    </xf>
    <xf numFmtId="4" fontId="121" fillId="0" borderId="0" xfId="37881" applyNumberFormat="1" applyFont="1" applyAlignment="1">
      <alignment horizontal="right" indent="2"/>
    </xf>
    <xf numFmtId="4" fontId="7" fillId="0" borderId="0" xfId="37881" applyNumberFormat="1" applyFont="1" applyAlignment="1">
      <alignment horizontal="right" indent="2"/>
    </xf>
    <xf numFmtId="0" fontId="121" fillId="0" borderId="11" xfId="37881" applyFont="1" applyBorder="1" applyAlignment="1">
      <alignment horizontal="left" indent="1"/>
    </xf>
    <xf numFmtId="4" fontId="7" fillId="0" borderId="11" xfId="37881" applyNumberFormat="1" applyFont="1" applyBorder="1" applyAlignment="1">
      <alignment horizontal="right" indent="2"/>
    </xf>
    <xf numFmtId="4" fontId="121" fillId="0" borderId="11" xfId="37881" applyNumberFormat="1" applyFont="1" applyBorder="1" applyAlignment="1">
      <alignment horizontal="right" indent="2"/>
    </xf>
    <xf numFmtId="0" fontId="121" fillId="78" borderId="0" xfId="37881" applyFont="1" applyFill="1" applyBorder="1" applyAlignment="1">
      <alignment vertical="center"/>
    </xf>
    <xf numFmtId="0" fontId="121" fillId="78" borderId="0" xfId="37881" applyFont="1" applyFill="1" applyBorder="1" applyAlignment="1">
      <alignment horizontal="center"/>
    </xf>
    <xf numFmtId="165" fontId="121" fillId="78" borderId="0" xfId="37881" applyNumberFormat="1" applyFont="1" applyFill="1" applyBorder="1" applyAlignment="1">
      <alignment vertical="center"/>
    </xf>
    <xf numFmtId="0" fontId="121" fillId="78" borderId="38" xfId="37881" applyFont="1" applyFill="1" applyBorder="1" applyAlignment="1">
      <alignment vertical="center"/>
    </xf>
    <xf numFmtId="0" fontId="121" fillId="78" borderId="0" xfId="37881" applyFont="1" applyFill="1" applyAlignment="1">
      <alignment vertical="center"/>
    </xf>
    <xf numFmtId="0" fontId="121" fillId="0" borderId="0" xfId="37881" applyFont="1" applyFill="1" applyBorder="1" applyAlignment="1">
      <alignment horizontal="center"/>
    </xf>
    <xf numFmtId="0" fontId="121" fillId="0" borderId="0" xfId="37881" applyFont="1" applyFill="1" applyBorder="1" applyAlignment="1">
      <alignment vertical="center"/>
    </xf>
    <xf numFmtId="165" fontId="121" fillId="0" borderId="0" xfId="37881" applyNumberFormat="1" applyFont="1" applyFill="1" applyBorder="1" applyAlignment="1">
      <alignment vertical="center"/>
    </xf>
    <xf numFmtId="0" fontId="121" fillId="0" borderId="0" xfId="37881" applyFont="1" applyFill="1" applyAlignment="1">
      <alignment vertical="center"/>
    </xf>
    <xf numFmtId="0" fontId="136" fillId="0" borderId="0" xfId="37771" applyFont="1" applyAlignment="1">
      <alignment vertical="center"/>
    </xf>
    <xf numFmtId="0" fontId="121" fillId="0" borderId="0" xfId="37881" applyFont="1" applyAlignment="1">
      <alignment vertical="center"/>
    </xf>
    <xf numFmtId="184" fontId="121" fillId="0" borderId="0" xfId="37885" applyNumberFormat="1" applyFont="1" applyAlignment="1">
      <alignment vertical="center"/>
    </xf>
    <xf numFmtId="165" fontId="121" fillId="0" borderId="0" xfId="37881" applyNumberFormat="1" applyFont="1" applyAlignment="1">
      <alignment vertical="center"/>
    </xf>
    <xf numFmtId="0" fontId="122" fillId="0" borderId="0" xfId="37884" applyNumberFormat="1" applyFont="1" applyFill="1" applyBorder="1" applyAlignment="1">
      <alignment vertical="center"/>
    </xf>
    <xf numFmtId="0" fontId="122" fillId="108" borderId="39" xfId="37884" applyNumberFormat="1" applyFont="1" applyFill="1" applyBorder="1" applyAlignment="1">
      <alignment vertical="center"/>
    </xf>
    <xf numFmtId="0" fontId="122" fillId="108" borderId="40" xfId="37884" applyNumberFormat="1" applyFont="1" applyFill="1" applyBorder="1" applyAlignment="1">
      <alignment vertical="center"/>
    </xf>
    <xf numFmtId="176" fontId="121" fillId="0" borderId="40" xfId="37884" applyNumberFormat="1" applyFont="1" applyBorder="1" applyAlignment="1">
      <alignment vertical="center"/>
    </xf>
    <xf numFmtId="184" fontId="121" fillId="0" borderId="40" xfId="37885" applyNumberFormat="1" applyFont="1" applyBorder="1" applyAlignment="1">
      <alignment vertical="center"/>
    </xf>
    <xf numFmtId="165" fontId="121" fillId="0" borderId="40" xfId="37884" applyNumberFormat="1" applyFont="1" applyBorder="1" applyAlignment="1">
      <alignment vertical="center"/>
    </xf>
    <xf numFmtId="176" fontId="121" fillId="0" borderId="41" xfId="37884" applyNumberFormat="1" applyFont="1" applyBorder="1" applyAlignment="1">
      <alignment vertical="center"/>
    </xf>
    <xf numFmtId="176" fontId="121" fillId="0" borderId="0" xfId="37884" applyNumberFormat="1" applyFont="1" applyBorder="1" applyAlignment="1">
      <alignment vertical="center"/>
    </xf>
    <xf numFmtId="0" fontId="121" fillId="0" borderId="0" xfId="37881" applyFont="1" applyBorder="1" applyAlignment="1">
      <alignment vertical="center"/>
    </xf>
    <xf numFmtId="0" fontId="7" fillId="0" borderId="42" xfId="37881" applyFont="1" applyBorder="1" applyAlignment="1">
      <alignment vertical="center" wrapText="1"/>
    </xf>
    <xf numFmtId="0" fontId="150" fillId="0" borderId="0" xfId="37881" applyFont="1" applyBorder="1" applyAlignment="1">
      <alignment vertical="center" wrapText="1"/>
    </xf>
    <xf numFmtId="184" fontId="150" fillId="0" borderId="0" xfId="37885" applyNumberFormat="1" applyFont="1" applyBorder="1" applyAlignment="1">
      <alignment vertical="center" wrapText="1"/>
    </xf>
    <xf numFmtId="0" fontId="122" fillId="0" borderId="0" xfId="37881" applyFont="1" applyBorder="1" applyAlignment="1">
      <alignment horizontal="center" vertical="center" wrapText="1"/>
    </xf>
    <xf numFmtId="165" fontId="150" fillId="0" borderId="0" xfId="37881" applyNumberFormat="1" applyFont="1" applyBorder="1" applyAlignment="1">
      <alignment horizontal="center" vertical="center" wrapText="1"/>
    </xf>
    <xf numFmtId="0" fontId="150" fillId="0" borderId="0" xfId="37881" applyFont="1" applyBorder="1" applyAlignment="1">
      <alignment horizontal="center" vertical="center" wrapText="1"/>
    </xf>
    <xf numFmtId="0" fontId="150" fillId="0" borderId="38" xfId="37881" applyFont="1" applyBorder="1" applyAlignment="1">
      <alignment horizontal="center" vertical="center" wrapText="1"/>
    </xf>
    <xf numFmtId="0" fontId="151" fillId="105" borderId="42" xfId="37881" applyFont="1" applyFill="1" applyBorder="1" applyAlignment="1">
      <alignment vertical="center" wrapText="1"/>
    </xf>
    <xf numFmtId="184" fontId="151" fillId="105" borderId="0" xfId="37885" applyNumberFormat="1" applyFont="1" applyFill="1" applyBorder="1" applyAlignment="1">
      <alignment vertical="center" wrapText="1"/>
    </xf>
    <xf numFmtId="184" fontId="121" fillId="105" borderId="0" xfId="37885" applyNumberFormat="1" applyFont="1" applyFill="1" applyBorder="1" applyAlignment="1">
      <alignment vertical="center"/>
    </xf>
    <xf numFmtId="176" fontId="151" fillId="105" borderId="0" xfId="37884" applyNumberFormat="1" applyFont="1" applyFill="1" applyBorder="1" applyAlignment="1">
      <alignment vertical="center" wrapText="1"/>
    </xf>
    <xf numFmtId="165" fontId="151" fillId="105" borderId="0" xfId="37884" applyNumberFormat="1" applyFont="1" applyFill="1" applyBorder="1" applyAlignment="1">
      <alignment vertical="center" wrapText="1"/>
    </xf>
    <xf numFmtId="178" fontId="151" fillId="105" borderId="0" xfId="37884" applyNumberFormat="1" applyFont="1" applyFill="1" applyBorder="1" applyAlignment="1">
      <alignment vertical="center" wrapText="1"/>
    </xf>
    <xf numFmtId="176" fontId="151" fillId="105" borderId="38" xfId="37884" applyNumberFormat="1" applyFont="1" applyFill="1" applyBorder="1" applyAlignment="1">
      <alignment vertical="center" wrapText="1"/>
    </xf>
    <xf numFmtId="43" fontId="121" fillId="0" borderId="0" xfId="37881" applyNumberFormat="1" applyFont="1" applyBorder="1" applyAlignment="1">
      <alignment vertical="center"/>
    </xf>
    <xf numFmtId="0" fontId="151" fillId="0" borderId="42" xfId="37881" applyFont="1" applyBorder="1" applyAlignment="1">
      <alignment vertical="center" wrapText="1"/>
    </xf>
    <xf numFmtId="184" fontId="121" fillId="0" borderId="0" xfId="37885" applyNumberFormat="1" applyFont="1" applyBorder="1" applyAlignment="1">
      <alignment vertical="center"/>
    </xf>
    <xf numFmtId="165" fontId="120" fillId="0" borderId="0" xfId="37881" applyNumberFormat="1" applyFont="1" applyBorder="1" applyAlignment="1">
      <alignment vertical="center"/>
    </xf>
    <xf numFmtId="184" fontId="151" fillId="0" borderId="0" xfId="37885" applyNumberFormat="1" applyFont="1" applyBorder="1" applyAlignment="1">
      <alignment vertical="center" wrapText="1"/>
    </xf>
    <xf numFmtId="0" fontId="121" fillId="0" borderId="42" xfId="37881" applyFont="1" applyBorder="1" applyAlignment="1">
      <alignment vertical="center" wrapText="1"/>
    </xf>
    <xf numFmtId="0" fontId="121" fillId="0" borderId="0" xfId="37881" applyFont="1" applyBorder="1" applyAlignment="1">
      <alignment vertical="center" wrapText="1"/>
    </xf>
    <xf numFmtId="176" fontId="121" fillId="0" borderId="0" xfId="37884" applyNumberFormat="1" applyFont="1" applyBorder="1" applyAlignment="1">
      <alignment vertical="center" wrapText="1"/>
    </xf>
    <xf numFmtId="165" fontId="121" fillId="0" borderId="0" xfId="37881" applyNumberFormat="1" applyFont="1" applyBorder="1" applyAlignment="1">
      <alignment vertical="center"/>
    </xf>
    <xf numFmtId="185" fontId="121" fillId="0" borderId="0" xfId="37884" applyNumberFormat="1" applyFont="1" applyBorder="1" applyAlignment="1">
      <alignment vertical="center"/>
    </xf>
    <xf numFmtId="176" fontId="121" fillId="0" borderId="38" xfId="37884" applyNumberFormat="1" applyFont="1" applyBorder="1" applyAlignment="1">
      <alignment vertical="center"/>
    </xf>
    <xf numFmtId="176" fontId="151" fillId="0" borderId="0" xfId="37884" applyNumberFormat="1" applyFont="1" applyFill="1" applyBorder="1" applyAlignment="1">
      <alignment vertical="center" wrapText="1"/>
    </xf>
    <xf numFmtId="184" fontId="121" fillId="0" borderId="0" xfId="37885" applyNumberFormat="1" applyFont="1" applyFill="1" applyBorder="1" applyAlignment="1">
      <alignment vertical="center"/>
    </xf>
    <xf numFmtId="176" fontId="121" fillId="0" borderId="0" xfId="37884" applyNumberFormat="1" applyFont="1" applyFill="1" applyBorder="1" applyAlignment="1">
      <alignment vertical="center" wrapText="1"/>
    </xf>
    <xf numFmtId="185" fontId="121" fillId="0" borderId="38" xfId="37884" applyNumberFormat="1" applyFont="1" applyBorder="1" applyAlignment="1">
      <alignment vertical="center"/>
    </xf>
    <xf numFmtId="0" fontId="121" fillId="0" borderId="0" xfId="37881" applyFont="1" applyFill="1" applyBorder="1" applyAlignment="1">
      <alignment vertical="center" wrapText="1"/>
    </xf>
    <xf numFmtId="0" fontId="121" fillId="0" borderId="38" xfId="37881" applyFont="1" applyBorder="1" applyAlignment="1">
      <alignment vertical="center"/>
    </xf>
    <xf numFmtId="165" fontId="121" fillId="0" borderId="0" xfId="37884" applyNumberFormat="1" applyFont="1" applyBorder="1" applyAlignment="1">
      <alignment vertical="center"/>
    </xf>
    <xf numFmtId="0" fontId="150" fillId="0" borderId="44" xfId="37881" applyFont="1" applyBorder="1" applyAlignment="1">
      <alignment vertical="center" wrapText="1"/>
    </xf>
    <xf numFmtId="184" fontId="121" fillId="0" borderId="44" xfId="37885" applyNumberFormat="1" applyFont="1" applyBorder="1" applyAlignment="1">
      <alignment vertical="center"/>
    </xf>
    <xf numFmtId="0" fontId="121" fillId="0" borderId="44" xfId="37881" applyFont="1" applyFill="1" applyBorder="1" applyAlignment="1">
      <alignment vertical="center" wrapText="1"/>
    </xf>
    <xf numFmtId="165" fontId="121" fillId="0" borderId="44" xfId="37881" applyNumberFormat="1" applyFont="1" applyBorder="1" applyAlignment="1">
      <alignment vertical="center"/>
    </xf>
    <xf numFmtId="0" fontId="121" fillId="0" borderId="44" xfId="37881" applyFont="1" applyBorder="1" applyAlignment="1">
      <alignment vertical="center"/>
    </xf>
    <xf numFmtId="0" fontId="121" fillId="0" borderId="45" xfId="37881" applyFont="1" applyBorder="1" applyAlignment="1">
      <alignment vertical="center"/>
    </xf>
    <xf numFmtId="0" fontId="121" fillId="0" borderId="0" xfId="37881" applyFont="1" applyAlignment="1">
      <alignment horizontal="left" vertical="center"/>
    </xf>
    <xf numFmtId="3" fontId="121" fillId="0" borderId="0" xfId="37881" applyNumberFormat="1" applyFont="1" applyAlignment="1">
      <alignment vertical="center"/>
    </xf>
    <xf numFmtId="3" fontId="121" fillId="0" borderId="0" xfId="37881" applyNumberFormat="1" applyFont="1" applyAlignment="1">
      <alignment horizontal="right" vertical="center"/>
    </xf>
    <xf numFmtId="0" fontId="121" fillId="0" borderId="39" xfId="37881" applyFont="1" applyBorder="1" applyAlignment="1">
      <alignment vertical="center"/>
    </xf>
    <xf numFmtId="0" fontId="136" fillId="0" borderId="40" xfId="37771" applyFont="1" applyBorder="1" applyAlignment="1">
      <alignment vertical="center"/>
    </xf>
    <xf numFmtId="0" fontId="121" fillId="0" borderId="40" xfId="37881" applyFont="1" applyBorder="1" applyAlignment="1">
      <alignment vertical="center"/>
    </xf>
    <xf numFmtId="184" fontId="121" fillId="0" borderId="41" xfId="37885" applyNumberFormat="1" applyFont="1" applyBorder="1" applyAlignment="1">
      <alignment vertical="center"/>
    </xf>
    <xf numFmtId="0" fontId="122" fillId="0" borderId="42" xfId="37881" applyFont="1" applyBorder="1" applyAlignment="1">
      <alignment vertical="center"/>
    </xf>
    <xf numFmtId="184" fontId="121" fillId="0" borderId="38" xfId="37885" applyNumberFormat="1" applyFont="1" applyBorder="1" applyAlignment="1">
      <alignment vertical="center" wrapText="1"/>
    </xf>
    <xf numFmtId="165" fontId="121" fillId="0" borderId="0" xfId="37884" applyNumberFormat="1" applyFont="1" applyAlignment="1">
      <alignment vertical="center"/>
    </xf>
    <xf numFmtId="0" fontId="121" fillId="0" borderId="42" xfId="37881" applyFont="1" applyBorder="1" applyAlignment="1">
      <alignment vertical="center"/>
    </xf>
    <xf numFmtId="184" fontId="121" fillId="0" borderId="38" xfId="37885" applyNumberFormat="1" applyFont="1" applyBorder="1" applyAlignment="1">
      <alignment vertical="center"/>
    </xf>
    <xf numFmtId="0" fontId="122" fillId="0" borderId="0" xfId="37881" applyFont="1" applyAlignment="1">
      <alignment horizontal="left" vertical="center"/>
    </xf>
    <xf numFmtId="3" fontId="121" fillId="0" borderId="0" xfId="37881" applyNumberFormat="1" applyFont="1" applyBorder="1" applyAlignment="1">
      <alignment vertical="center"/>
    </xf>
    <xf numFmtId="3" fontId="121" fillId="0" borderId="0" xfId="37884" applyNumberFormat="1" applyFont="1" applyBorder="1" applyAlignment="1">
      <alignment vertical="center"/>
    </xf>
    <xf numFmtId="3" fontId="122" fillId="0" borderId="0" xfId="37884" applyNumberFormat="1" applyFont="1" applyBorder="1" applyAlignment="1">
      <alignment vertical="center"/>
    </xf>
    <xf numFmtId="184" fontId="122" fillId="0" borderId="38" xfId="37885" applyNumberFormat="1" applyFont="1" applyBorder="1" applyAlignment="1">
      <alignment vertical="center"/>
    </xf>
    <xf numFmtId="0" fontId="121" fillId="0" borderId="43" xfId="37881" applyFont="1" applyBorder="1" applyAlignment="1">
      <alignment vertical="center"/>
    </xf>
    <xf numFmtId="3" fontId="121" fillId="0" borderId="44" xfId="37881" applyNumberFormat="1" applyFont="1" applyBorder="1" applyAlignment="1">
      <alignment vertical="center"/>
    </xf>
    <xf numFmtId="184" fontId="121" fillId="0" borderId="45" xfId="37885" applyNumberFormat="1" applyFont="1" applyBorder="1" applyAlignment="1">
      <alignment vertical="center"/>
    </xf>
    <xf numFmtId="0" fontId="122" fillId="0" borderId="0" xfId="37881" applyFont="1" applyBorder="1" applyAlignment="1">
      <alignment vertical="center"/>
    </xf>
    <xf numFmtId="185" fontId="122" fillId="0" borderId="0" xfId="37884" applyNumberFormat="1" applyFont="1" applyBorder="1" applyAlignment="1">
      <alignment vertical="center"/>
    </xf>
    <xf numFmtId="185" fontId="122" fillId="0" borderId="0" xfId="37881" applyNumberFormat="1" applyFont="1" applyBorder="1" applyAlignment="1">
      <alignment vertical="center"/>
    </xf>
    <xf numFmtId="175" fontId="121" fillId="0" borderId="0" xfId="37884" applyNumberFormat="1" applyFont="1" applyBorder="1" applyAlignment="1">
      <alignment vertical="center"/>
    </xf>
    <xf numFmtId="175" fontId="122" fillId="0" borderId="0" xfId="37884" applyNumberFormat="1" applyFont="1" applyBorder="1" applyAlignment="1">
      <alignment vertical="center"/>
    </xf>
    <xf numFmtId="175" fontId="121" fillId="0" borderId="0" xfId="37881" applyNumberFormat="1" applyFont="1" applyBorder="1" applyAlignment="1">
      <alignment vertical="center"/>
    </xf>
    <xf numFmtId="0" fontId="122" fillId="0" borderId="43" xfId="37881" applyFont="1" applyBorder="1" applyAlignment="1">
      <alignment vertical="center"/>
    </xf>
    <xf numFmtId="0" fontId="122" fillId="0" borderId="44" xfId="37881" applyFont="1" applyBorder="1" applyAlignment="1">
      <alignment vertical="center"/>
    </xf>
    <xf numFmtId="175" fontId="122" fillId="0" borderId="44" xfId="37881" applyNumberFormat="1" applyFont="1" applyBorder="1" applyAlignment="1">
      <alignment vertical="center"/>
    </xf>
    <xf numFmtId="184" fontId="122" fillId="0" borderId="45" xfId="37885" applyNumberFormat="1" applyFont="1" applyBorder="1" applyAlignment="1">
      <alignment vertical="center"/>
    </xf>
    <xf numFmtId="175" fontId="122" fillId="0" borderId="44" xfId="37884" applyNumberFormat="1" applyFont="1" applyBorder="1" applyAlignment="1">
      <alignment vertical="center"/>
    </xf>
    <xf numFmtId="0" fontId="121" fillId="0" borderId="0" xfId="37881" applyFont="1" applyAlignment="1">
      <alignment horizontal="left" vertical="top"/>
    </xf>
    <xf numFmtId="0" fontId="121" fillId="0" borderId="0" xfId="37881" applyFont="1" applyAlignment="1">
      <alignment horizontal="left" vertical="top" wrapText="1"/>
    </xf>
    <xf numFmtId="0" fontId="121" fillId="0" borderId="0" xfId="37881" applyFont="1" applyBorder="1" applyAlignment="1">
      <alignment horizontal="left" vertical="top" wrapText="1"/>
    </xf>
    <xf numFmtId="0" fontId="136" fillId="0" borderId="0" xfId="37771" applyFont="1" applyFill="1" applyBorder="1"/>
    <xf numFmtId="0" fontId="121" fillId="0" borderId="0" xfId="37881" applyFont="1" applyFill="1" applyBorder="1"/>
    <xf numFmtId="0" fontId="124" fillId="0" borderId="0" xfId="37881" applyFont="1" applyFill="1" applyBorder="1"/>
    <xf numFmtId="3" fontId="121" fillId="0" borderId="0" xfId="37881" applyNumberFormat="1" applyFont="1" applyBorder="1"/>
    <xf numFmtId="0" fontId="121" fillId="0" borderId="0" xfId="37881" applyFont="1" applyFill="1" applyBorder="1" applyAlignment="1">
      <alignment horizontal="left" indent="1"/>
    </xf>
    <xf numFmtId="0" fontId="7" fillId="78" borderId="0" xfId="37881" applyFont="1" applyFill="1" applyBorder="1" applyAlignment="1">
      <alignment horizontal="center"/>
    </xf>
    <xf numFmtId="0" fontId="7" fillId="78" borderId="0" xfId="37881" applyFont="1" applyFill="1" applyBorder="1" applyAlignment="1">
      <alignment horizontal="center" vertical="center" wrapText="1"/>
    </xf>
    <xf numFmtId="3" fontId="7" fillId="78" borderId="0" xfId="37881" applyNumberFormat="1" applyFont="1" applyFill="1" applyBorder="1" applyAlignment="1">
      <alignment horizontal="center" vertical="center" wrapText="1"/>
    </xf>
    <xf numFmtId="0" fontId="7" fillId="0" borderId="0" xfId="37881" applyFont="1" applyFill="1" applyBorder="1" applyAlignment="1">
      <alignment horizontal="center" vertical="center" wrapText="1"/>
    </xf>
    <xf numFmtId="3" fontId="7" fillId="0" borderId="0" xfId="37881" applyNumberFormat="1" applyFont="1" applyFill="1" applyBorder="1" applyAlignment="1">
      <alignment horizontal="center" vertical="center" wrapText="1"/>
    </xf>
    <xf numFmtId="0" fontId="7" fillId="0" borderId="0" xfId="37881" applyFont="1" applyFill="1" applyBorder="1" applyAlignment="1">
      <alignment horizontal="center"/>
    </xf>
    <xf numFmtId="184" fontId="136" fillId="0" borderId="0" xfId="37771" applyNumberFormat="1" applyFont="1" applyFill="1" applyBorder="1" applyAlignment="1">
      <alignment vertical="center"/>
    </xf>
    <xf numFmtId="3" fontId="7" fillId="0" borderId="0" xfId="37881" applyNumberFormat="1" applyFont="1" applyFill="1" applyBorder="1" applyAlignment="1">
      <alignment horizontal="center"/>
    </xf>
    <xf numFmtId="0" fontId="7" fillId="0" borderId="0" xfId="37881" applyFont="1" applyFill="1" applyBorder="1" applyAlignment="1">
      <alignment horizontal="left" vertical="center"/>
    </xf>
    <xf numFmtId="0" fontId="7" fillId="0" borderId="0" xfId="37881" applyFont="1" applyFill="1" applyBorder="1" applyAlignment="1">
      <alignment horizontal="left" vertical="center" wrapText="1" indent="1"/>
    </xf>
    <xf numFmtId="0" fontId="7" fillId="0" borderId="0" xfId="37881" applyFont="1" applyFill="1" applyBorder="1" applyAlignment="1">
      <alignment vertical="center"/>
    </xf>
    <xf numFmtId="0" fontId="46" fillId="0" borderId="0" xfId="37881" applyFont="1" applyAlignment="1">
      <alignment horizontal="center" vertical="center" wrapText="1"/>
    </xf>
    <xf numFmtId="184" fontId="7" fillId="0" borderId="0" xfId="37885" applyNumberFormat="1" applyFont="1" applyFill="1" applyBorder="1" applyAlignment="1">
      <alignment horizontal="right" vertical="center"/>
    </xf>
    <xf numFmtId="176" fontId="7" fillId="0" borderId="0" xfId="37884" applyNumberFormat="1" applyFont="1" applyFill="1" applyBorder="1" applyAlignment="1">
      <alignment horizontal="center"/>
    </xf>
    <xf numFmtId="184" fontId="7" fillId="0" borderId="0" xfId="37885" applyNumberFormat="1" applyFont="1" applyFill="1" applyBorder="1" applyAlignment="1"/>
    <xf numFmtId="176" fontId="7" fillId="0" borderId="0" xfId="37884" applyNumberFormat="1" applyFont="1" applyFill="1" applyBorder="1" applyAlignment="1">
      <alignment horizontal="center" vertical="center"/>
    </xf>
    <xf numFmtId="0" fontId="46" fillId="0" borderId="0" xfId="37881" applyFont="1" applyFill="1" applyAlignment="1">
      <alignment horizontal="center" vertical="center" wrapText="1"/>
    </xf>
    <xf numFmtId="184" fontId="7" fillId="0" borderId="0" xfId="37885" applyNumberFormat="1" applyFont="1" applyFill="1" applyBorder="1" applyAlignment="1">
      <alignment wrapText="1"/>
    </xf>
    <xf numFmtId="0" fontId="7" fillId="0" borderId="0" xfId="37881" applyFont="1" applyFill="1" applyBorder="1" applyAlignment="1">
      <alignment horizontal="left"/>
    </xf>
    <xf numFmtId="0" fontId="46" fillId="0" borderId="0" xfId="37881" applyFont="1" applyFill="1" applyBorder="1" applyAlignment="1">
      <alignment vertical="center" wrapText="1"/>
    </xf>
    <xf numFmtId="176" fontId="7" fillId="0" borderId="0" xfId="37884" applyNumberFormat="1" applyFont="1" applyFill="1" applyBorder="1" applyAlignment="1"/>
    <xf numFmtId="0" fontId="7" fillId="0" borderId="0" xfId="37881" applyFont="1" applyFill="1" applyBorder="1" applyAlignment="1">
      <alignment vertical="center" wrapText="1"/>
    </xf>
    <xf numFmtId="184" fontId="7" fillId="0" borderId="0" xfId="37885" applyNumberFormat="1" applyFont="1" applyFill="1" applyBorder="1" applyAlignment="1">
      <alignment vertical="center"/>
    </xf>
    <xf numFmtId="3" fontId="7" fillId="0" borderId="0" xfId="37881" applyNumberFormat="1" applyFont="1" applyFill="1" applyBorder="1" applyAlignment="1">
      <alignment horizontal="center" vertical="center"/>
    </xf>
    <xf numFmtId="0" fontId="7" fillId="0" borderId="0" xfId="37881" applyFont="1" applyFill="1" applyBorder="1" applyAlignment="1">
      <alignment horizontal="right"/>
    </xf>
    <xf numFmtId="0" fontId="7" fillId="0" borderId="0" xfId="37881" applyFont="1" applyBorder="1" applyAlignment="1">
      <alignment vertical="center"/>
    </xf>
    <xf numFmtId="0" fontId="7" fillId="0" borderId="0" xfId="37881" applyFont="1" applyFill="1" applyBorder="1" applyAlignment="1">
      <alignment horizontal="left" vertical="center" wrapText="1" indent="2"/>
    </xf>
    <xf numFmtId="6" fontId="7" fillId="0" borderId="0" xfId="37881" applyNumberFormat="1" applyFont="1" applyFill="1" applyBorder="1" applyAlignment="1">
      <alignment vertical="center" wrapText="1"/>
    </xf>
    <xf numFmtId="0" fontId="121" fillId="78" borderId="0" xfId="37881" applyFont="1" applyFill="1" applyBorder="1" applyAlignment="1">
      <alignment horizontal="center" vertical="center" wrapText="1"/>
    </xf>
    <xf numFmtId="0" fontId="7" fillId="78" borderId="0" xfId="37881" applyFont="1" applyFill="1" applyBorder="1" applyAlignment="1">
      <alignment vertical="center" wrapText="1"/>
    </xf>
    <xf numFmtId="0" fontId="121" fillId="0" borderId="0" xfId="37881" applyFont="1" applyBorder="1" applyAlignment="1">
      <alignment horizontal="center" vertical="center" wrapText="1"/>
    </xf>
    <xf numFmtId="0" fontId="7" fillId="0" borderId="0" xfId="37881" applyFont="1" applyBorder="1" applyAlignment="1">
      <alignment vertical="center" wrapText="1"/>
    </xf>
    <xf numFmtId="184" fontId="7" fillId="0" borderId="0" xfId="37885" applyNumberFormat="1" applyFont="1" applyBorder="1" applyAlignment="1">
      <alignment vertical="center"/>
    </xf>
    <xf numFmtId="0" fontId="152" fillId="0" borderId="0" xfId="37881" applyFont="1" applyBorder="1" applyAlignment="1">
      <alignment horizontal="center" vertical="center" wrapText="1"/>
    </xf>
    <xf numFmtId="0" fontId="152" fillId="0" borderId="0" xfId="37881" applyFont="1" applyBorder="1" applyAlignment="1">
      <alignment horizontal="left" vertical="center" wrapText="1" indent="1"/>
    </xf>
    <xf numFmtId="0" fontId="153" fillId="0" borderId="0" xfId="37881" applyFont="1" applyBorder="1" applyAlignment="1">
      <alignment horizontal="center" vertical="center" wrapText="1"/>
    </xf>
    <xf numFmtId="0" fontId="152" fillId="0" borderId="0" xfId="37881" applyFont="1" applyBorder="1" applyAlignment="1">
      <alignment vertical="center"/>
    </xf>
    <xf numFmtId="0" fontId="157" fillId="0" borderId="0" xfId="37881" applyFont="1" applyBorder="1" applyAlignment="1">
      <alignment horizontal="center" vertical="center"/>
    </xf>
    <xf numFmtId="0" fontId="7" fillId="0" borderId="0" xfId="37881" applyFont="1" applyBorder="1" applyAlignment="1">
      <alignment horizontal="center" vertical="center" wrapText="1"/>
    </xf>
    <xf numFmtId="0" fontId="46" fillId="0" borderId="0" xfId="37881" applyFont="1" applyBorder="1" applyAlignment="1">
      <alignment vertical="center" wrapText="1"/>
    </xf>
    <xf numFmtId="184" fontId="7" fillId="0" borderId="0" xfId="37885" applyNumberFormat="1" applyFont="1" applyBorder="1" applyAlignment="1">
      <alignment vertical="center" wrapText="1"/>
    </xf>
    <xf numFmtId="175" fontId="7" fillId="0" borderId="0" xfId="37885" applyNumberFormat="1" applyFont="1" applyBorder="1" applyAlignment="1">
      <alignment vertical="center"/>
    </xf>
    <xf numFmtId="3" fontId="7" fillId="0" borderId="0" xfId="37881" applyNumberFormat="1" applyFont="1" applyBorder="1"/>
    <xf numFmtId="0" fontId="51" fillId="79" borderId="0" xfId="37881" applyFont="1" applyFill="1" applyBorder="1" applyAlignment="1">
      <alignment vertical="center" wrapText="1"/>
    </xf>
    <xf numFmtId="184" fontId="7" fillId="79" borderId="0" xfId="37885" applyNumberFormat="1" applyFont="1" applyFill="1" applyBorder="1" applyAlignment="1">
      <alignment vertical="center" wrapText="1"/>
    </xf>
    <xf numFmtId="175" fontId="7" fillId="79" borderId="0" xfId="37885" applyNumberFormat="1" applyFont="1" applyFill="1" applyBorder="1" applyAlignment="1">
      <alignment vertical="center" wrapText="1"/>
    </xf>
    <xf numFmtId="3" fontId="7" fillId="79" borderId="0" xfId="37881" applyNumberFormat="1" applyFont="1" applyFill="1" applyBorder="1"/>
    <xf numFmtId="175" fontId="7" fillId="0" borderId="0" xfId="37881" applyNumberFormat="1" applyFont="1" applyBorder="1"/>
    <xf numFmtId="175" fontId="7" fillId="0" borderId="0" xfId="37885" applyNumberFormat="1" applyFont="1" applyBorder="1" applyAlignment="1">
      <alignment vertical="center" wrapText="1"/>
    </xf>
    <xf numFmtId="175" fontId="7" fillId="0" borderId="0" xfId="37885" applyNumberFormat="1" applyFont="1" applyFill="1" applyBorder="1" applyAlignment="1">
      <alignment vertical="center" wrapText="1"/>
    </xf>
    <xf numFmtId="3" fontId="124" fillId="0" borderId="0" xfId="37881" applyNumberFormat="1" applyFont="1" applyFill="1" applyBorder="1"/>
    <xf numFmtId="0" fontId="7" fillId="0" borderId="0" xfId="37881" applyFont="1" applyBorder="1" applyAlignment="1">
      <alignment horizontal="right" vertical="center" wrapText="1"/>
    </xf>
    <xf numFmtId="3" fontId="7" fillId="0" borderId="0" xfId="37881" applyNumberFormat="1" applyFont="1" applyBorder="1" applyAlignment="1">
      <alignment vertical="center" wrapText="1"/>
    </xf>
    <xf numFmtId="0" fontId="7" fillId="0" borderId="0" xfId="37881" applyFont="1" applyBorder="1" applyAlignment="1">
      <alignment horizontal="left" vertical="center" wrapText="1" indent="2"/>
    </xf>
    <xf numFmtId="0" fontId="7" fillId="0" borderId="0" xfId="37881" applyFont="1" applyBorder="1" applyAlignment="1">
      <alignment horizontal="left" vertical="center"/>
    </xf>
    <xf numFmtId="0" fontId="124" fillId="0" borderId="0" xfId="37881" applyFont="1" applyBorder="1" applyAlignment="1">
      <alignment horizontal="left" vertical="center"/>
    </xf>
    <xf numFmtId="3" fontId="7" fillId="0" borderId="0" xfId="37881" applyNumberFormat="1" applyFont="1" applyBorder="1" applyAlignment="1">
      <alignment horizontal="left" vertical="center" wrapText="1" indent="2"/>
    </xf>
    <xf numFmtId="0" fontId="7" fillId="0" borderId="0" xfId="37881" applyFont="1" applyBorder="1" applyAlignment="1"/>
    <xf numFmtId="0" fontId="124" fillId="0" borderId="0" xfId="37881" applyFont="1" applyBorder="1" applyAlignment="1"/>
    <xf numFmtId="182" fontId="121" fillId="78" borderId="0" xfId="37881" applyNumberFormat="1" applyFont="1" applyFill="1"/>
    <xf numFmtId="37" fontId="121" fillId="78" borderId="0" xfId="37881" applyNumberFormat="1" applyFont="1" applyFill="1"/>
    <xf numFmtId="37" fontId="121" fillId="0" borderId="0" xfId="37881" applyNumberFormat="1" applyFont="1"/>
    <xf numFmtId="182" fontId="121" fillId="0" borderId="0" xfId="37881" applyNumberFormat="1" applyFont="1"/>
    <xf numFmtId="182" fontId="121" fillId="0" borderId="0" xfId="37881" applyNumberFormat="1" applyFont="1" applyFill="1"/>
    <xf numFmtId="182" fontId="116" fillId="100" borderId="46" xfId="37881" applyNumberFormat="1" applyFont="1" applyFill="1" applyBorder="1" applyAlignment="1">
      <alignment horizontal="left" vertical="center" wrapText="1"/>
    </xf>
    <xf numFmtId="182" fontId="90" fillId="100" borderId="47" xfId="37881" applyNumberFormat="1" applyFont="1" applyFill="1" applyBorder="1" applyAlignment="1">
      <alignment horizontal="center" vertical="top" wrapText="1"/>
    </xf>
    <xf numFmtId="182" fontId="90" fillId="100" borderId="47" xfId="37881" applyNumberFormat="1" applyFont="1" applyFill="1" applyBorder="1" applyAlignment="1">
      <alignment horizontal="left" vertical="top" wrapText="1"/>
    </xf>
    <xf numFmtId="182" fontId="90" fillId="100" borderId="48" xfId="37881" applyNumberFormat="1" applyFont="1" applyFill="1" applyBorder="1" applyAlignment="1">
      <alignment horizontal="left" vertical="top" wrapText="1"/>
    </xf>
    <xf numFmtId="43" fontId="90" fillId="100" borderId="48" xfId="37884" applyFont="1" applyFill="1" applyBorder="1" applyAlignment="1">
      <alignment horizontal="right" vertical="top" wrapText="1"/>
    </xf>
    <xf numFmtId="182" fontId="90" fillId="100" borderId="48" xfId="37881" applyNumberFormat="1" applyFont="1" applyFill="1" applyBorder="1" applyAlignment="1">
      <alignment horizontal="right" vertical="top" wrapText="1"/>
    </xf>
    <xf numFmtId="182" fontId="90" fillId="100" borderId="49" xfId="37881" applyNumberFormat="1" applyFont="1" applyFill="1" applyBorder="1" applyAlignment="1">
      <alignment horizontal="right" vertical="top" wrapText="1"/>
    </xf>
    <xf numFmtId="0" fontId="121" fillId="0" borderId="37" xfId="37881" applyFont="1" applyBorder="1"/>
    <xf numFmtId="0" fontId="116" fillId="100" borderId="0" xfId="37881" applyFont="1" applyFill="1" applyAlignment="1">
      <alignment horizontal="left" vertical="top"/>
    </xf>
    <xf numFmtId="0" fontId="7" fillId="0" borderId="0" xfId="37881" applyFont="1" applyAlignment="1">
      <alignment vertical="top" wrapText="1"/>
    </xf>
    <xf numFmtId="0" fontId="90" fillId="100" borderId="50" xfId="37881" applyFont="1" applyFill="1" applyBorder="1" applyAlignment="1">
      <alignment horizontal="left" vertical="top" wrapText="1"/>
    </xf>
    <xf numFmtId="186" fontId="116" fillId="100" borderId="48" xfId="37881" applyNumberFormat="1" applyFont="1" applyFill="1" applyBorder="1" applyAlignment="1">
      <alignment horizontal="right" vertical="top" wrapText="1"/>
    </xf>
    <xf numFmtId="0" fontId="116" fillId="100" borderId="48" xfId="37881" applyFont="1" applyFill="1" applyBorder="1" applyAlignment="1">
      <alignment horizontal="left" vertical="top" wrapText="1"/>
    </xf>
    <xf numFmtId="182" fontId="90" fillId="100" borderId="51" xfId="37881" applyNumberFormat="1" applyFont="1" applyFill="1" applyBorder="1" applyAlignment="1">
      <alignment horizontal="right" vertical="top" wrapText="1"/>
    </xf>
    <xf numFmtId="0" fontId="90" fillId="100" borderId="48" xfId="37881" applyFont="1" applyFill="1" applyBorder="1" applyAlignment="1">
      <alignment horizontal="left" vertical="top" wrapText="1"/>
    </xf>
    <xf numFmtId="186" fontId="90" fillId="100" borderId="48" xfId="37881" applyNumberFormat="1" applyFont="1" applyFill="1" applyBorder="1" applyAlignment="1">
      <alignment horizontal="right" vertical="top" wrapText="1"/>
    </xf>
    <xf numFmtId="0" fontId="90" fillId="100" borderId="52" xfId="37881" applyFont="1" applyFill="1" applyBorder="1" applyAlignment="1">
      <alignment horizontal="right" vertical="top" wrapText="1"/>
    </xf>
    <xf numFmtId="182" fontId="90" fillId="100" borderId="53" xfId="37881" applyNumberFormat="1" applyFont="1" applyFill="1" applyBorder="1" applyAlignment="1">
      <alignment horizontal="right" vertical="top" wrapText="1"/>
    </xf>
    <xf numFmtId="185" fontId="90" fillId="100" borderId="50" xfId="37884" applyNumberFormat="1" applyFont="1" applyFill="1" applyBorder="1" applyAlignment="1">
      <alignment horizontal="right" vertical="top" wrapText="1"/>
    </xf>
    <xf numFmtId="0" fontId="90" fillId="100" borderId="48" xfId="37881" applyFont="1" applyFill="1" applyBorder="1" applyAlignment="1">
      <alignment horizontal="right" vertical="top" wrapText="1"/>
    </xf>
    <xf numFmtId="182" fontId="90" fillId="100" borderId="54" xfId="37881" applyNumberFormat="1" applyFont="1" applyFill="1" applyBorder="1" applyAlignment="1">
      <alignment horizontal="right" vertical="top" wrapText="1"/>
    </xf>
    <xf numFmtId="185" fontId="90" fillId="100" borderId="48" xfId="37884" applyNumberFormat="1" applyFont="1" applyFill="1" applyBorder="1" applyAlignment="1">
      <alignment horizontal="right" vertical="top" wrapText="1"/>
    </xf>
    <xf numFmtId="167" fontId="90" fillId="100" borderId="48" xfId="37881" applyNumberFormat="1" applyFont="1" applyFill="1" applyBorder="1" applyAlignment="1">
      <alignment horizontal="right" vertical="top" wrapText="1"/>
    </xf>
    <xf numFmtId="187" fontId="90" fillId="100" borderId="48" xfId="37881" applyNumberFormat="1" applyFont="1" applyFill="1" applyBorder="1" applyAlignment="1">
      <alignment horizontal="right" vertical="top" wrapText="1"/>
    </xf>
    <xf numFmtId="186" fontId="90" fillId="100" borderId="0" xfId="37881" applyNumberFormat="1" applyFont="1" applyFill="1" applyBorder="1" applyAlignment="1">
      <alignment horizontal="right" vertical="top" wrapText="1"/>
    </xf>
    <xf numFmtId="0" fontId="90" fillId="100" borderId="0" xfId="37881" applyFont="1" applyFill="1" applyBorder="1" applyAlignment="1">
      <alignment horizontal="right" vertical="top" wrapText="1"/>
    </xf>
    <xf numFmtId="182" fontId="90" fillId="100" borderId="0" xfId="37881" applyNumberFormat="1" applyFont="1" applyFill="1" applyBorder="1" applyAlignment="1">
      <alignment horizontal="right" vertical="top" wrapText="1"/>
    </xf>
    <xf numFmtId="187" fontId="90" fillId="100" borderId="0" xfId="37881" applyNumberFormat="1" applyFont="1" applyFill="1" applyBorder="1" applyAlignment="1">
      <alignment horizontal="right" vertical="top" wrapText="1"/>
    </xf>
    <xf numFmtId="0" fontId="121" fillId="0" borderId="0" xfId="37881" applyFont="1" applyAlignment="1">
      <alignment wrapText="1"/>
    </xf>
    <xf numFmtId="0" fontId="121" fillId="0" borderId="0" xfId="37881" applyFont="1" applyAlignment="1"/>
    <xf numFmtId="176" fontId="121" fillId="0" borderId="0" xfId="37884" applyNumberFormat="1" applyFont="1"/>
    <xf numFmtId="3" fontId="121" fillId="0" borderId="0" xfId="37881" applyNumberFormat="1" applyFont="1"/>
    <xf numFmtId="2" fontId="63" fillId="0" borderId="0" xfId="37881" applyNumberFormat="1" applyFont="1" applyFill="1"/>
    <xf numFmtId="3" fontId="120" fillId="0" borderId="0" xfId="37881" applyNumberFormat="1" applyFont="1" applyFill="1" applyAlignment="1">
      <alignment horizontal="right" indent="1"/>
    </xf>
    <xf numFmtId="0" fontId="123" fillId="0" borderId="0" xfId="37881" applyFont="1" applyAlignment="1">
      <alignment horizontal="right" indent="1"/>
    </xf>
    <xf numFmtId="168" fontId="63" fillId="0" borderId="0" xfId="37881" applyNumberFormat="1" applyFont="1" applyFill="1" applyAlignment="1">
      <alignment horizontal="right" indent="1"/>
    </xf>
    <xf numFmtId="0" fontId="121" fillId="0" borderId="0" xfId="37881" applyFont="1" applyAlignment="1">
      <alignment horizontal="right" indent="1"/>
    </xf>
    <xf numFmtId="3" fontId="121" fillId="0" borderId="0" xfId="37881" quotePrefix="1" applyNumberFormat="1" applyFont="1" applyFill="1" applyAlignment="1">
      <alignment horizontal="right" indent="1"/>
    </xf>
    <xf numFmtId="3" fontId="121" fillId="0" borderId="0" xfId="37881" applyNumberFormat="1" applyFont="1" applyFill="1" applyAlignment="1">
      <alignment horizontal="right" indent="1"/>
    </xf>
    <xf numFmtId="4" fontId="121" fillId="0" borderId="0" xfId="37881" applyNumberFormat="1" applyFont="1" applyFill="1" applyAlignment="1">
      <alignment horizontal="right" indent="1"/>
    </xf>
    <xf numFmtId="0" fontId="121" fillId="0" borderId="0" xfId="37881" applyFont="1" applyFill="1" applyAlignment="1">
      <alignment horizontal="right" indent="1"/>
    </xf>
    <xf numFmtId="4" fontId="120" fillId="0" borderId="0" xfId="37881" applyNumberFormat="1" applyFont="1" applyFill="1" applyAlignment="1">
      <alignment horizontal="right" indent="1"/>
    </xf>
    <xf numFmtId="4" fontId="63" fillId="0" borderId="0" xfId="37881" applyNumberFormat="1" applyFont="1" applyFill="1" applyAlignment="1">
      <alignment horizontal="right" indent="1"/>
    </xf>
    <xf numFmtId="183" fontId="63" fillId="0" borderId="0" xfId="37881" applyNumberFormat="1" applyFont="1" applyFill="1" applyAlignment="1">
      <alignment horizontal="right" indent="1"/>
    </xf>
    <xf numFmtId="183" fontId="117" fillId="0" borderId="0" xfId="37881" applyNumberFormat="1" applyFont="1" applyFill="1" applyAlignment="1">
      <alignment horizontal="right" indent="1"/>
    </xf>
    <xf numFmtId="166" fontId="120" fillId="0" borderId="0" xfId="37881" applyNumberFormat="1" applyFont="1" applyFill="1" applyAlignment="1">
      <alignment horizontal="right" indent="1"/>
    </xf>
    <xf numFmtId="166" fontId="68" fillId="0" borderId="0" xfId="37881" applyNumberFormat="1" applyFont="1" applyFill="1" applyAlignment="1">
      <alignment horizontal="right" indent="1"/>
    </xf>
    <xf numFmtId="3" fontId="63" fillId="0" borderId="0" xfId="37881" applyNumberFormat="1" applyFont="1" applyFill="1" applyAlignment="1">
      <alignment horizontal="right" indent="1"/>
    </xf>
    <xf numFmtId="168" fontId="51" fillId="0" borderId="0" xfId="37881" applyNumberFormat="1" applyFont="1" applyAlignment="1">
      <alignment horizontal="left"/>
    </xf>
    <xf numFmtId="0" fontId="121" fillId="0" borderId="11" xfId="37881" applyFont="1" applyBorder="1" applyAlignment="1">
      <alignment horizontal="left"/>
    </xf>
    <xf numFmtId="0" fontId="122" fillId="0" borderId="0" xfId="37881" applyFont="1" applyBorder="1" applyAlignment="1">
      <alignment horizontal="left" vertical="top"/>
    </xf>
    <xf numFmtId="0" fontId="122" fillId="0" borderId="0" xfId="37881" applyFont="1" applyBorder="1" applyAlignment="1">
      <alignment horizontal="right" vertical="top" wrapText="1"/>
    </xf>
    <xf numFmtId="0" fontId="121" fillId="0" borderId="12" xfId="37881" applyFont="1" applyBorder="1" applyAlignment="1">
      <alignment horizontal="left"/>
    </xf>
    <xf numFmtId="0" fontId="123" fillId="0" borderId="12" xfId="37881" applyFont="1" applyBorder="1" applyAlignment="1">
      <alignment horizontal="right" vertical="top" wrapText="1"/>
    </xf>
    <xf numFmtId="0" fontId="121" fillId="0" borderId="0" xfId="37881" applyFont="1" applyBorder="1" applyAlignment="1">
      <alignment horizontal="left"/>
    </xf>
    <xf numFmtId="0" fontId="123" fillId="0" borderId="0" xfId="37881" applyFont="1" applyBorder="1" applyAlignment="1">
      <alignment horizontal="right" vertical="top" wrapText="1"/>
    </xf>
    <xf numFmtId="168" fontId="7" fillId="0" borderId="0" xfId="37881" applyNumberFormat="1" applyFont="1" applyAlignment="1">
      <alignment horizontal="right"/>
    </xf>
    <xf numFmtId="168" fontId="121" fillId="0" borderId="0" xfId="37881" applyNumberFormat="1" applyFont="1" applyAlignment="1">
      <alignment horizontal="right"/>
    </xf>
    <xf numFmtId="3" fontId="7" fillId="0" borderId="0" xfId="37881" applyNumberFormat="1" applyFont="1" applyAlignment="1">
      <alignment horizontal="right"/>
    </xf>
    <xf numFmtId="9" fontId="63" fillId="0" borderId="0" xfId="37883" applyFont="1" applyAlignment="1">
      <alignment horizontal="right"/>
    </xf>
    <xf numFmtId="2" fontId="63" fillId="0" borderId="0" xfId="37883" applyNumberFormat="1" applyFont="1" applyAlignment="1">
      <alignment horizontal="right"/>
    </xf>
    <xf numFmtId="165" fontId="121" fillId="0" borderId="0" xfId="37881" applyNumberFormat="1" applyFont="1"/>
    <xf numFmtId="10" fontId="121" fillId="0" borderId="0" xfId="37881" applyNumberFormat="1" applyFont="1"/>
    <xf numFmtId="0" fontId="122" fillId="0" borderId="0" xfId="37881" applyFont="1" applyAlignment="1">
      <alignment horizontal="left"/>
    </xf>
    <xf numFmtId="2" fontId="63" fillId="0" borderId="0" xfId="37881" applyNumberFormat="1" applyFont="1" applyAlignment="1">
      <alignment horizontal="right"/>
    </xf>
    <xf numFmtId="3" fontId="63" fillId="0" borderId="0" xfId="37880" applyNumberFormat="1" applyFont="1" applyAlignment="1">
      <alignment horizontal="right"/>
    </xf>
    <xf numFmtId="168" fontId="63" fillId="0" borderId="0" xfId="37881" applyNumberFormat="1" applyFont="1" applyAlignment="1">
      <alignment horizontal="right"/>
    </xf>
    <xf numFmtId="168" fontId="68" fillId="0" borderId="0" xfId="37881" applyNumberFormat="1" applyFont="1" applyAlignment="1">
      <alignment horizontal="right"/>
    </xf>
    <xf numFmtId="2" fontId="120" fillId="0" borderId="0" xfId="131" applyNumberFormat="1" applyFont="1" applyAlignment="1">
      <alignment horizontal="right" indent="2"/>
    </xf>
    <xf numFmtId="0" fontId="7" fillId="0" borderId="0" xfId="131" applyNumberFormat="1" applyFont="1" applyFill="1" applyAlignment="1">
      <alignment horizontal="right"/>
    </xf>
    <xf numFmtId="0" fontId="46" fillId="0" borderId="0" xfId="0" applyFont="1" applyFill="1" applyBorder="1" applyAlignment="1">
      <alignment horizontal="centerContinuous" wrapText="1"/>
    </xf>
    <xf numFmtId="0" fontId="46" fillId="0" borderId="0" xfId="37761" applyFont="1" applyBorder="1" applyAlignment="1">
      <alignment horizontal="left" vertical="center"/>
    </xf>
    <xf numFmtId="179" fontId="121" fillId="0" borderId="12" xfId="17973" applyNumberFormat="1" applyFont="1" applyFill="1" applyBorder="1" applyAlignment="1">
      <alignment horizontal="right"/>
    </xf>
    <xf numFmtId="0" fontId="122" fillId="0" borderId="0" xfId="37774" applyFont="1" applyFill="1" applyAlignment="1">
      <alignment horizontal="right" vertical="top"/>
    </xf>
    <xf numFmtId="0" fontId="149" fillId="0" borderId="0" xfId="37881" applyFont="1" applyAlignment="1">
      <alignment horizontal="left"/>
    </xf>
    <xf numFmtId="0" fontId="132" fillId="0" borderId="0" xfId="37881" applyFont="1" applyAlignment="1">
      <alignment horizontal="center"/>
    </xf>
    <xf numFmtId="0" fontId="122" fillId="78" borderId="0" xfId="37881" applyFont="1" applyFill="1" applyAlignment="1">
      <alignment horizontal="center"/>
    </xf>
    <xf numFmtId="0" fontId="122" fillId="0" borderId="0" xfId="37881" applyFont="1" applyFill="1" applyAlignment="1">
      <alignment horizontal="center"/>
    </xf>
    <xf numFmtId="0" fontId="132" fillId="0" borderId="0" xfId="37881" applyFont="1" applyAlignment="1">
      <alignment horizontal="center" wrapText="1"/>
    </xf>
    <xf numFmtId="0" fontId="122" fillId="0" borderId="37" xfId="37881" applyFont="1" applyBorder="1" applyAlignment="1">
      <alignment horizontal="center" wrapText="1"/>
    </xf>
    <xf numFmtId="0" fontId="122" fillId="0" borderId="37" xfId="37881" applyFont="1" applyFill="1" applyBorder="1" applyAlignment="1">
      <alignment horizontal="center" wrapText="1"/>
    </xf>
    <xf numFmtId="0" fontId="122" fillId="0" borderId="0" xfId="37881" applyFont="1" applyAlignment="1">
      <alignment horizontal="center" wrapText="1"/>
    </xf>
    <xf numFmtId="0" fontId="122" fillId="101" borderId="0" xfId="37881" applyFont="1" applyFill="1" applyAlignment="1">
      <alignment horizontal="center"/>
    </xf>
    <xf numFmtId="0" fontId="7" fillId="79" borderId="0" xfId="37881" applyFont="1" applyFill="1" applyBorder="1" applyAlignment="1">
      <alignment horizontal="left" vertical="center" wrapText="1"/>
    </xf>
    <xf numFmtId="0" fontId="146" fillId="79" borderId="0" xfId="37881" applyFont="1" applyFill="1" applyBorder="1" applyAlignment="1">
      <alignment horizontal="left" vertical="center" wrapText="1"/>
    </xf>
    <xf numFmtId="0" fontId="7" fillId="79" borderId="0" xfId="37881" applyFont="1" applyFill="1" applyBorder="1" applyAlignment="1">
      <alignment horizontal="left" vertical="top" wrapText="1"/>
    </xf>
    <xf numFmtId="0" fontId="89" fillId="109" borderId="0" xfId="0" applyFont="1" applyFill="1"/>
    <xf numFmtId="0" fontId="114" fillId="109" borderId="0" xfId="0" applyFont="1" applyFill="1"/>
    <xf numFmtId="0" fontId="122" fillId="0" borderId="12" xfId="37766" applyFont="1" applyBorder="1" applyAlignment="1">
      <alignment horizontal="center" vertical="center"/>
    </xf>
    <xf numFmtId="0" fontId="121" fillId="0" borderId="12" xfId="37766" applyFont="1" applyBorder="1" applyAlignment="1">
      <alignment horizontal="center"/>
    </xf>
    <xf numFmtId="2" fontId="117" fillId="0" borderId="0" xfId="37880" applyNumberFormat="1" applyFont="1" applyAlignment="1">
      <alignment horizontal="right"/>
    </xf>
    <xf numFmtId="2" fontId="117" fillId="0" borderId="0" xfId="37880" applyNumberFormat="1" applyFont="1" applyFill="1" applyAlignment="1">
      <alignment horizontal="right"/>
    </xf>
    <xf numFmtId="0" fontId="7" fillId="0" borderId="0" xfId="37758" applyFont="1" applyFill="1" applyBorder="1" applyAlignment="1">
      <alignment horizontal="left" indent="2"/>
    </xf>
    <xf numFmtId="176" fontId="7" fillId="0" borderId="0" xfId="35795" applyNumberFormat="1" applyFont="1" applyFill="1" applyBorder="1" applyAlignment="1">
      <alignment horizontal="left" indent="2"/>
    </xf>
    <xf numFmtId="0" fontId="51" fillId="0" borderId="0" xfId="37758" applyFont="1" applyFill="1" applyBorder="1" applyAlignment="1">
      <alignment horizontal="left" indent="1"/>
    </xf>
    <xf numFmtId="0" fontId="7" fillId="0" borderId="0" xfId="37758" applyFont="1" applyFill="1" applyBorder="1" applyAlignment="1">
      <alignment horizontal="left" wrapText="1" indent="1"/>
    </xf>
    <xf numFmtId="0" fontId="7" fillId="0" borderId="0" xfId="35795" applyNumberFormat="1" applyFont="1" applyFill="1" applyBorder="1" applyAlignment="1">
      <alignment horizontal="left" indent="1"/>
    </xf>
    <xf numFmtId="0" fontId="7" fillId="0" borderId="0" xfId="35795" quotePrefix="1" applyNumberFormat="1" applyFont="1" applyFill="1" applyBorder="1" applyAlignment="1">
      <alignment horizontal="left" indent="1"/>
    </xf>
    <xf numFmtId="0" fontId="46" fillId="0" borderId="0" xfId="37758" applyFont="1" applyFill="1" applyBorder="1"/>
    <xf numFmtId="176" fontId="46" fillId="0" borderId="0" xfId="35795" applyNumberFormat="1" applyFont="1" applyFill="1" applyBorder="1" applyAlignment="1">
      <alignment horizontal="left" indent="2"/>
    </xf>
    <xf numFmtId="0" fontId="46" fillId="0" borderId="0" xfId="35795" applyNumberFormat="1" applyFont="1" applyFill="1" applyBorder="1" applyAlignment="1">
      <alignment horizontal="left" indent="1"/>
    </xf>
    <xf numFmtId="0" fontId="7" fillId="0" borderId="12" xfId="37758" applyFont="1" applyFill="1" applyBorder="1"/>
    <xf numFmtId="0" fontId="7" fillId="0" borderId="12" xfId="37758" applyNumberFormat="1" applyFont="1" applyFill="1" applyBorder="1"/>
    <xf numFmtId="0" fontId="7" fillId="0" borderId="0" xfId="37758" applyNumberFormat="1" applyFont="1" applyFill="1" applyBorder="1"/>
    <xf numFmtId="0" fontId="46" fillId="0" borderId="0" xfId="37758" applyNumberFormat="1" applyFont="1" applyFill="1" applyBorder="1"/>
    <xf numFmtId="0" fontId="51" fillId="0" borderId="0" xfId="37758" applyFont="1" applyFill="1" applyBorder="1" applyAlignment="1">
      <alignment horizontal="left"/>
    </xf>
    <xf numFmtId="0" fontId="51" fillId="0" borderId="0" xfId="35795" applyNumberFormat="1" applyFont="1" applyFill="1" applyBorder="1" applyAlignment="1">
      <alignment horizontal="left" indent="1"/>
    </xf>
    <xf numFmtId="2" fontId="159" fillId="0" borderId="0" xfId="37772" applyNumberFormat="1" applyFont="1" applyBorder="1"/>
    <xf numFmtId="168" fontId="121" fillId="0" borderId="0" xfId="17973" applyNumberFormat="1" applyFont="1" applyBorder="1" applyAlignment="1"/>
    <xf numFmtId="14" fontId="7" fillId="0" borderId="0" xfId="92" applyNumberFormat="1" applyFont="1" applyAlignment="1">
      <alignment horizontal="left"/>
    </xf>
    <xf numFmtId="0" fontId="46" fillId="0" borderId="0" xfId="0" applyFont="1" applyFill="1" applyBorder="1" applyAlignment="1">
      <alignment horizontal="center" wrapText="1"/>
    </xf>
    <xf numFmtId="0" fontId="46" fillId="0" borderId="0" xfId="0" applyFont="1" applyFill="1" applyBorder="1" applyAlignment="1">
      <alignment horizontal="center" wrapText="1"/>
    </xf>
    <xf numFmtId="0" fontId="46" fillId="0" borderId="0" xfId="0" applyFont="1" applyFill="1" applyAlignment="1">
      <alignment horizontal="center"/>
    </xf>
    <xf numFmtId="0" fontId="46" fillId="0" borderId="0" xfId="0" applyFont="1" applyFill="1" applyBorder="1" applyAlignment="1">
      <alignment horizontal="center"/>
    </xf>
    <xf numFmtId="2" fontId="63" fillId="0" borderId="0" xfId="0" applyNumberFormat="1" applyFont="1" applyFill="1" applyAlignment="1">
      <alignment horizontal="center"/>
    </xf>
    <xf numFmtId="0" fontId="7" fillId="0" borderId="0" xfId="177" applyFont="1" applyAlignment="1">
      <alignment horizontal="center"/>
    </xf>
    <xf numFmtId="3" fontId="7" fillId="0" borderId="0" xfId="37758" quotePrefix="1" applyNumberFormat="1" applyFont="1" applyFill="1" applyBorder="1" applyAlignment="1">
      <alignment horizontal="right" indent="1"/>
    </xf>
    <xf numFmtId="176" fontId="63" fillId="0" borderId="0" xfId="35795" applyNumberFormat="1" applyFont="1" applyFill="1" applyBorder="1" applyAlignment="1">
      <alignment horizontal="right"/>
    </xf>
    <xf numFmtId="0" fontId="7" fillId="0" borderId="0" xfId="37758" applyFont="1" applyFill="1" applyBorder="1" applyAlignment="1">
      <alignment horizontal="center"/>
    </xf>
    <xf numFmtId="4" fontId="120" fillId="0" borderId="0" xfId="37758" applyNumberFormat="1" applyFont="1" applyFill="1" applyBorder="1" applyAlignment="1">
      <alignment horizontal="right" indent="3"/>
    </xf>
    <xf numFmtId="0" fontId="7" fillId="0" borderId="0" xfId="131" quotePrefix="1" applyFont="1" applyAlignment="1">
      <alignment horizontal="center"/>
    </xf>
    <xf numFmtId="9" fontId="120" fillId="0" borderId="0" xfId="144" applyFont="1" applyFill="1"/>
    <xf numFmtId="0" fontId="46" fillId="0" borderId="0" xfId="0" applyFont="1" applyFill="1" applyBorder="1" applyAlignment="1">
      <alignment horizontal="center" wrapText="1"/>
    </xf>
    <xf numFmtId="164" fontId="7" fillId="0" borderId="0" xfId="144" applyNumberFormat="1" applyFont="1" applyBorder="1" applyAlignment="1"/>
    <xf numFmtId="177" fontId="7" fillId="0" borderId="0" xfId="144" quotePrefix="1" applyNumberFormat="1" applyFont="1" applyFill="1" applyBorder="1" applyAlignment="1">
      <alignment horizontal="right" indent="1"/>
    </xf>
    <xf numFmtId="3" fontId="117" fillId="0" borderId="0" xfId="37758" applyNumberFormat="1" applyFont="1" applyFill="1" applyBorder="1" applyAlignment="1">
      <alignment horizontal="left" vertical="top" wrapText="1"/>
    </xf>
    <xf numFmtId="0" fontId="46" fillId="0" borderId="0" xfId="0" applyFont="1" applyFill="1" applyBorder="1" applyAlignment="1">
      <alignment horizontal="center" wrapText="1"/>
    </xf>
    <xf numFmtId="166" fontId="120" fillId="0" borderId="0" xfId="131" applyNumberFormat="1" applyFont="1" applyFill="1" applyAlignment="1">
      <alignment horizontal="right"/>
    </xf>
    <xf numFmtId="166" fontId="66" fillId="0" borderId="0" xfId="131" applyNumberFormat="1" applyFont="1" applyFill="1" applyAlignment="1">
      <alignment horizontal="right"/>
    </xf>
    <xf numFmtId="166" fontId="117" fillId="0" borderId="0" xfId="131" applyNumberFormat="1" applyFont="1" applyFill="1" applyAlignment="1">
      <alignment horizontal="right"/>
    </xf>
    <xf numFmtId="9" fontId="7" fillId="0" borderId="0" xfId="144" applyFont="1" applyBorder="1" applyAlignment="1">
      <alignment horizontal="right" wrapText="1" indent="1"/>
    </xf>
    <xf numFmtId="2" fontId="34" fillId="0" borderId="0" xfId="177" applyNumberFormat="1" applyFont="1"/>
    <xf numFmtId="1" fontId="46" fillId="0" borderId="0" xfId="35795" applyNumberFormat="1" applyFont="1" applyFill="1" applyBorder="1" applyAlignment="1">
      <alignment horizontal="center"/>
    </xf>
    <xf numFmtId="1" fontId="46" fillId="0" borderId="0" xfId="0" applyNumberFormat="1" applyFont="1" applyFill="1" applyBorder="1" applyAlignment="1">
      <alignment horizontal="center"/>
    </xf>
    <xf numFmtId="0" fontId="8" fillId="0" borderId="0" xfId="0" applyFont="1" applyFill="1"/>
    <xf numFmtId="0" fontId="121" fillId="78" borderId="0" xfId="17981" applyFont="1" applyFill="1"/>
    <xf numFmtId="0" fontId="122" fillId="78" borderId="0" xfId="17981" applyFont="1" applyFill="1" applyAlignment="1">
      <alignment horizontal="center" vertical="top" wrapText="1"/>
    </xf>
    <xf numFmtId="0" fontId="123" fillId="78" borderId="0" xfId="17981" applyFont="1" applyFill="1" applyAlignment="1">
      <alignment horizontal="center"/>
    </xf>
    <xf numFmtId="0" fontId="121" fillId="78" borderId="0" xfId="17981" applyFont="1" applyFill="1" applyAlignment="1">
      <alignment horizontal="center"/>
    </xf>
    <xf numFmtId="0" fontId="121" fillId="0" borderId="0" xfId="17981" applyFont="1" applyFill="1" applyAlignment="1">
      <alignment horizontal="right"/>
    </xf>
    <xf numFmtId="14" fontId="7" fillId="0" borderId="0" xfId="0" applyNumberFormat="1" applyFont="1"/>
    <xf numFmtId="176" fontId="68" fillId="0" borderId="0" xfId="35795" applyNumberFormat="1" applyFont="1" applyFill="1" applyBorder="1" applyAlignment="1"/>
    <xf numFmtId="0" fontId="7" fillId="110" borderId="0" xfId="0" applyFont="1" applyFill="1"/>
    <xf numFmtId="3" fontId="7" fillId="78" borderId="0" xfId="0" applyNumberFormat="1" applyFont="1" applyFill="1"/>
    <xf numFmtId="3" fontId="114" fillId="78" borderId="0" xfId="0" applyNumberFormat="1" applyFont="1" applyFill="1"/>
    <xf numFmtId="3" fontId="46" fillId="78" borderId="0" xfId="0" applyNumberFormat="1" applyFont="1" applyFill="1"/>
    <xf numFmtId="3" fontId="117" fillId="78" borderId="0" xfId="0" applyNumberFormat="1" applyFont="1" applyFill="1" applyAlignment="1">
      <alignment horizontal="left"/>
    </xf>
    <xf numFmtId="3" fontId="7" fillId="110" borderId="0" xfId="0" applyNumberFormat="1" applyFont="1" applyFill="1"/>
    <xf numFmtId="165" fontId="7" fillId="110" borderId="0" xfId="0" applyNumberFormat="1" applyFont="1" applyFill="1"/>
    <xf numFmtId="2" fontId="7" fillId="110" borderId="0" xfId="0" applyNumberFormat="1" applyFont="1" applyFill="1"/>
    <xf numFmtId="4" fontId="117" fillId="78" borderId="0" xfId="0" applyNumberFormat="1" applyFont="1" applyFill="1" applyAlignment="1">
      <alignment horizontal="left"/>
    </xf>
    <xf numFmtId="0" fontId="7" fillId="0" borderId="0" xfId="0" applyFont="1" applyFill="1" applyAlignment="1">
      <alignment horizontal="right"/>
    </xf>
    <xf numFmtId="165" fontId="7" fillId="0" borderId="0" xfId="0" applyNumberFormat="1" applyFont="1" applyFill="1"/>
    <xf numFmtId="0" fontId="51" fillId="0" borderId="0" xfId="0" applyFont="1" applyFill="1" applyAlignment="1">
      <alignment horizontal="right"/>
    </xf>
    <xf numFmtId="2" fontId="7" fillId="0" borderId="0" xfId="0" applyNumberFormat="1" applyFont="1" applyFill="1" applyAlignment="1">
      <alignment horizontal="right"/>
    </xf>
    <xf numFmtId="0" fontId="7" fillId="110" borderId="0" xfId="0" applyFont="1" applyFill="1" applyAlignment="1">
      <alignment horizontal="right"/>
    </xf>
    <xf numFmtId="0" fontId="160" fillId="50" borderId="0" xfId="0" applyFont="1" applyFill="1" applyAlignment="1">
      <alignment horizontal="right"/>
    </xf>
    <xf numFmtId="0" fontId="121" fillId="0" borderId="0" xfId="37884" applyNumberFormat="1" applyFont="1" applyBorder="1"/>
    <xf numFmtId="1" fontId="120" fillId="0" borderId="0" xfId="35795" applyNumberFormat="1" applyFont="1" applyFill="1"/>
    <xf numFmtId="1" fontId="120" fillId="0" borderId="0" xfId="131" applyNumberFormat="1" applyFont="1" applyFill="1"/>
    <xf numFmtId="2" fontId="0" fillId="0" borderId="0" xfId="0" applyNumberFormat="1"/>
    <xf numFmtId="39" fontId="131" fillId="0" borderId="0" xfId="17973" applyNumberFormat="1" applyFont="1" applyFill="1" applyBorder="1" applyAlignment="1">
      <alignment horizontal="right"/>
    </xf>
    <xf numFmtId="180" fontId="131" fillId="0" borderId="0" xfId="17973" applyNumberFormat="1" applyFont="1" applyFill="1" applyBorder="1" applyAlignment="1">
      <alignment horizontal="right" vertical="top"/>
    </xf>
    <xf numFmtId="43" fontId="159" fillId="0" borderId="0" xfId="17973" applyNumberFormat="1" applyFont="1" applyFill="1" applyBorder="1" applyAlignment="1">
      <alignment horizontal="right" vertical="top"/>
    </xf>
    <xf numFmtId="167" fontId="121" fillId="0" borderId="0" xfId="0" applyNumberFormat="1" applyFont="1" applyAlignment="1">
      <alignment horizontal="center"/>
    </xf>
    <xf numFmtId="0" fontId="7" fillId="78" borderId="0" xfId="17973" applyFont="1" applyFill="1" applyAlignment="1">
      <alignment horizontal="right"/>
    </xf>
    <xf numFmtId="164" fontId="65" fillId="0" borderId="0" xfId="131" applyNumberFormat="1" applyFont="1" applyFill="1" applyAlignment="1">
      <alignment horizontal="right"/>
    </xf>
    <xf numFmtId="0" fontId="122" fillId="0" borderId="0" xfId="17973" applyFont="1" applyFill="1" applyBorder="1" applyAlignment="1">
      <alignment wrapText="1"/>
    </xf>
    <xf numFmtId="180" fontId="121" fillId="0" borderId="0" xfId="17973" applyNumberFormat="1" applyFont="1" applyFill="1" applyBorder="1" applyAlignment="1">
      <alignment horizontal="right"/>
    </xf>
    <xf numFmtId="168" fontId="122" fillId="0" borderId="0" xfId="35795" applyNumberFormat="1" applyFont="1" applyFill="1" applyAlignment="1">
      <alignment horizontal="right" vertical="center" indent="1"/>
    </xf>
    <xf numFmtId="0" fontId="46" fillId="0" borderId="0" xfId="35795" applyNumberFormat="1" applyFont="1" applyFill="1"/>
    <xf numFmtId="165" fontId="0" fillId="0" borderId="0" xfId="0" applyNumberFormat="1"/>
    <xf numFmtId="1" fontId="0" fillId="0" borderId="0" xfId="0" applyNumberFormat="1"/>
    <xf numFmtId="0" fontId="46" fillId="0" borderId="0" xfId="0" applyFont="1" applyFill="1" applyBorder="1" applyAlignment="1">
      <alignment horizontal="center" wrapText="1"/>
    </xf>
    <xf numFmtId="168" fontId="164" fillId="0" borderId="0" xfId="35795" applyNumberFormat="1" applyFont="1" applyFill="1" applyAlignment="1">
      <alignment horizontal="right" vertical="center" indent="1"/>
    </xf>
    <xf numFmtId="168" fontId="164" fillId="0" borderId="0" xfId="35795" quotePrefix="1" applyNumberFormat="1" applyFont="1" applyFill="1" applyAlignment="1">
      <alignment horizontal="right" vertical="center" indent="1"/>
    </xf>
    <xf numFmtId="176" fontId="68" fillId="0" borderId="0" xfId="37758" applyNumberFormat="1" applyFont="1" applyBorder="1" applyAlignment="1"/>
    <xf numFmtId="43" fontId="68" fillId="0" borderId="0" xfId="37758" applyNumberFormat="1" applyFont="1" applyBorder="1" applyAlignment="1"/>
    <xf numFmtId="176" fontId="63" fillId="0" borderId="12" xfId="35795" applyNumberFormat="1" applyFont="1" applyBorder="1" applyAlignment="1">
      <alignment horizontal="right"/>
    </xf>
    <xf numFmtId="0" fontId="7" fillId="79" borderId="0" xfId="0" applyFont="1" applyFill="1" applyBorder="1" applyAlignment="1">
      <alignment horizontal="left" indent="8"/>
    </xf>
    <xf numFmtId="0" fontId="7" fillId="0" borderId="12" xfId="37761" applyFont="1" applyFill="1" applyBorder="1" applyAlignment="1">
      <alignment horizontal="left" wrapText="1" indent="1"/>
    </xf>
    <xf numFmtId="0" fontId="7" fillId="0" borderId="12" xfId="0" applyFont="1" applyBorder="1" applyAlignment="1">
      <alignment horizontal="center"/>
    </xf>
    <xf numFmtId="164" fontId="121" fillId="0" borderId="12" xfId="37762" applyNumberFormat="1" applyFont="1" applyFill="1" applyBorder="1" applyAlignment="1">
      <alignment horizontal="center"/>
    </xf>
    <xf numFmtId="0" fontId="7" fillId="0" borderId="12" xfId="37758" quotePrefix="1" applyFont="1" applyFill="1" applyBorder="1" applyAlignment="1">
      <alignment horizontal="center"/>
    </xf>
    <xf numFmtId="3" fontId="120" fillId="79" borderId="0" xfId="0" applyNumberFormat="1" applyFont="1" applyFill="1" applyAlignment="1">
      <alignment horizontal="right" indent="1"/>
    </xf>
    <xf numFmtId="2" fontId="63" fillId="79" borderId="0" xfId="0" applyNumberFormat="1" applyFont="1" applyFill="1" applyAlignment="1">
      <alignment horizontal="right" indent="1"/>
    </xf>
    <xf numFmtId="4" fontId="120" fillId="79" borderId="0" xfId="0" applyNumberFormat="1" applyFont="1" applyFill="1" applyAlignment="1">
      <alignment horizontal="right" indent="1"/>
    </xf>
    <xf numFmtId="3" fontId="90" fillId="0" borderId="0" xfId="0" applyNumberFormat="1" applyFont="1" applyAlignment="1">
      <alignment horizontal="right"/>
    </xf>
    <xf numFmtId="0" fontId="60" fillId="0" borderId="0" xfId="85" applyFont="1" applyAlignment="1" applyProtection="1"/>
    <xf numFmtId="0" fontId="51" fillId="0" borderId="0" xfId="0" applyFont="1" applyAlignment="1">
      <alignment horizontal="left" indent="1"/>
    </xf>
    <xf numFmtId="0" fontId="117" fillId="0" borderId="25" xfId="0" applyFont="1" applyBorder="1" applyAlignment="1">
      <alignment horizontal="center"/>
    </xf>
    <xf numFmtId="17" fontId="121" fillId="111" borderId="0" xfId="17973" applyNumberFormat="1" applyFont="1" applyFill="1" applyBorder="1" applyAlignment="1">
      <alignment horizontal="right" vertical="top"/>
    </xf>
    <xf numFmtId="180" fontId="121" fillId="111" borderId="0" xfId="17973" applyNumberFormat="1" applyFont="1" applyFill="1" applyBorder="1" applyAlignment="1">
      <alignment horizontal="right" vertical="top"/>
    </xf>
    <xf numFmtId="39" fontId="121" fillId="111" borderId="0" xfId="17973" applyNumberFormat="1" applyFont="1" applyFill="1" applyBorder="1" applyAlignment="1">
      <alignment horizontal="right"/>
    </xf>
    <xf numFmtId="43" fontId="121" fillId="111" borderId="0" xfId="17973" applyNumberFormat="1" applyFont="1" applyFill="1" applyBorder="1" applyAlignment="1">
      <alignment horizontal="right" vertical="top"/>
    </xf>
    <xf numFmtId="176" fontId="121" fillId="111" borderId="0" xfId="4288" quotePrefix="1" applyNumberFormat="1" applyFont="1" applyFill="1" applyBorder="1" applyAlignment="1">
      <alignment horizontal="right"/>
    </xf>
    <xf numFmtId="39" fontId="63" fillId="0" borderId="0" xfId="17973" applyNumberFormat="1" applyFont="1" applyFill="1" applyBorder="1" applyAlignment="1">
      <alignment horizontal="right"/>
    </xf>
    <xf numFmtId="9" fontId="121" fillId="0" borderId="0" xfId="144" applyFont="1" applyFill="1" applyBorder="1"/>
    <xf numFmtId="168" fontId="34" fillId="80" borderId="25" xfId="131" applyNumberFormat="1" applyFill="1" applyBorder="1" applyAlignment="1">
      <alignment horizontal="center"/>
    </xf>
    <xf numFmtId="17" fontId="121" fillId="0" borderId="0" xfId="17973" applyNumberFormat="1" applyFont="1" applyFill="1" applyBorder="1"/>
    <xf numFmtId="2" fontId="159" fillId="0" borderId="0" xfId="37772" applyNumberFormat="1" applyFont="1" applyFill="1" applyBorder="1"/>
    <xf numFmtId="2" fontId="121" fillId="0" borderId="0" xfId="17973" applyNumberFormat="1" applyFont="1" applyFill="1" applyBorder="1"/>
    <xf numFmtId="0" fontId="46" fillId="0" borderId="0" xfId="17973" applyFont="1" applyFill="1" applyAlignment="1">
      <alignment horizontal="center"/>
    </xf>
    <xf numFmtId="2" fontId="145" fillId="0" borderId="0" xfId="17973" applyNumberFormat="1" applyFont="1" applyFill="1" applyAlignment="1">
      <alignment horizontal="right" indent="1"/>
    </xf>
    <xf numFmtId="0" fontId="7" fillId="0" borderId="55" xfId="0" applyFont="1" applyFill="1" applyBorder="1" applyAlignment="1">
      <alignment horizontal="center"/>
    </xf>
    <xf numFmtId="0" fontId="7" fillId="0" borderId="42" xfId="0" applyFont="1" applyFill="1" applyBorder="1" applyAlignment="1">
      <alignment horizontal="center"/>
    </xf>
    <xf numFmtId="0" fontId="7" fillId="0" borderId="43" xfId="0" applyFont="1" applyFill="1" applyBorder="1" applyAlignment="1">
      <alignment horizontal="center"/>
    </xf>
    <xf numFmtId="0" fontId="7" fillId="0" borderId="56" xfId="0" applyFont="1" applyFill="1" applyBorder="1" applyAlignment="1">
      <alignment horizontal="center"/>
    </xf>
    <xf numFmtId="3" fontId="63" fillId="0" borderId="57" xfId="0" applyNumberFormat="1" applyFont="1" applyFill="1" applyBorder="1" applyAlignment="1">
      <alignment horizontal="right" indent="1"/>
    </xf>
    <xf numFmtId="3" fontId="63" fillId="0" borderId="58" xfId="0" applyNumberFormat="1" applyFont="1" applyFill="1" applyBorder="1" applyAlignment="1">
      <alignment horizontal="right" indent="1"/>
    </xf>
    <xf numFmtId="0" fontId="7" fillId="0" borderId="59" xfId="0" applyFont="1" applyFill="1" applyBorder="1" applyAlignment="1">
      <alignment horizontal="center"/>
    </xf>
    <xf numFmtId="3" fontId="63" fillId="0" borderId="60" xfId="0" applyNumberFormat="1" applyFont="1" applyFill="1" applyBorder="1" applyAlignment="1">
      <alignment horizontal="right" indent="1"/>
    </xf>
    <xf numFmtId="4" fontId="63" fillId="0" borderId="57" xfId="0" applyNumberFormat="1" applyFont="1" applyFill="1" applyBorder="1" applyAlignment="1">
      <alignment horizontal="right" indent="1"/>
    </xf>
    <xf numFmtId="4" fontId="63" fillId="0" borderId="60" xfId="0" applyNumberFormat="1" applyFont="1" applyFill="1" applyBorder="1" applyAlignment="1">
      <alignment horizontal="right" indent="1"/>
    </xf>
    <xf numFmtId="4" fontId="63" fillId="0" borderId="58" xfId="0" applyNumberFormat="1" applyFont="1" applyFill="1" applyBorder="1" applyAlignment="1">
      <alignment horizontal="right" indent="1"/>
    </xf>
    <xf numFmtId="0" fontId="90" fillId="0" borderId="0" xfId="17973" applyFont="1" applyAlignment="1">
      <alignment vertical="top"/>
    </xf>
    <xf numFmtId="0" fontId="90" fillId="0" borderId="0" xfId="17973" applyFont="1" applyAlignment="1">
      <alignment vertical="top" wrapText="1"/>
    </xf>
    <xf numFmtId="0" fontId="151" fillId="0" borderId="0" xfId="0" applyFont="1" applyAlignment="1">
      <alignment horizontal="left" vertical="center"/>
    </xf>
    <xf numFmtId="0" fontId="60" fillId="0" borderId="0" xfId="85" applyFont="1" applyAlignment="1" applyProtection="1">
      <alignment horizontal="left"/>
    </xf>
    <xf numFmtId="2" fontId="7" fillId="0" borderId="0" xfId="0" applyNumberFormat="1" applyFont="1" applyFill="1" applyBorder="1" applyAlignment="1" applyProtection="1"/>
    <xf numFmtId="2" fontId="7" fillId="110" borderId="0" xfId="0" applyNumberFormat="1" applyFont="1" applyFill="1" applyBorder="1" applyAlignment="1" applyProtection="1"/>
    <xf numFmtId="188" fontId="7" fillId="0" borderId="0" xfId="0" applyNumberFormat="1" applyFont="1" applyFill="1" applyBorder="1" applyAlignment="1" applyProtection="1"/>
    <xf numFmtId="177" fontId="7" fillId="0" borderId="0" xfId="0" applyNumberFormat="1" applyFont="1" applyFill="1" applyBorder="1" applyAlignment="1" applyProtection="1"/>
    <xf numFmtId="0" fontId="8" fillId="0" borderId="0" xfId="0" applyFont="1"/>
    <xf numFmtId="2" fontId="7" fillId="0" borderId="0" xfId="131" applyNumberFormat="1" applyFont="1" applyFill="1" applyAlignment="1">
      <alignment horizontal="right" indent="2"/>
    </xf>
    <xf numFmtId="2" fontId="8" fillId="0" borderId="0" xfId="0" applyNumberFormat="1" applyFont="1"/>
    <xf numFmtId="1" fontId="7" fillId="0" borderId="0" xfId="0" applyNumberFormat="1" applyFont="1" applyAlignment="1">
      <alignment horizontal="right" indent="1"/>
    </xf>
    <xf numFmtId="0" fontId="8" fillId="0" borderId="12" xfId="0" applyFont="1" applyBorder="1"/>
    <xf numFmtId="0" fontId="0" fillId="0" borderId="12" xfId="0" applyBorder="1"/>
    <xf numFmtId="0" fontId="46" fillId="0" borderId="0" xfId="0" applyFont="1" applyAlignment="1">
      <alignment horizontal="left" indent="1"/>
    </xf>
    <xf numFmtId="2" fontId="65" fillId="0" borderId="0" xfId="131" applyNumberFormat="1" applyFont="1" applyAlignment="1">
      <alignment horizontal="right" indent="2"/>
    </xf>
    <xf numFmtId="2" fontId="65" fillId="0" borderId="0" xfId="131" applyNumberFormat="1" applyFont="1" applyFill="1" applyAlignment="1">
      <alignment horizontal="right" indent="2"/>
    </xf>
    <xf numFmtId="2" fontId="123" fillId="0" borderId="0" xfId="17973" applyNumberFormat="1" applyFont="1" applyBorder="1" applyAlignment="1">
      <alignment horizontal="right"/>
    </xf>
    <xf numFmtId="2" fontId="124" fillId="0" borderId="0" xfId="131" applyNumberFormat="1" applyFont="1" applyAlignment="1">
      <alignment horizontal="right" indent="2"/>
    </xf>
    <xf numFmtId="0" fontId="122" fillId="0" borderId="0" xfId="17981" applyFont="1" applyAlignment="1">
      <alignment horizontal="center" wrapText="1"/>
    </xf>
    <xf numFmtId="0" fontId="122" fillId="0" borderId="0" xfId="17981" applyFont="1" applyAlignment="1">
      <alignment wrapText="1"/>
    </xf>
    <xf numFmtId="168" fontId="122" fillId="0" borderId="0" xfId="35795" applyNumberFormat="1" applyFont="1" applyFill="1" applyAlignment="1">
      <alignment horizontal="center" vertical="top"/>
    </xf>
    <xf numFmtId="168" fontId="34" fillId="0" borderId="0" xfId="131" applyNumberFormat="1" applyFill="1" applyBorder="1"/>
    <xf numFmtId="0" fontId="13" fillId="0" borderId="0" xfId="0" applyFont="1" applyAlignment="1">
      <alignment horizontal="center"/>
    </xf>
    <xf numFmtId="0" fontId="8" fillId="0" borderId="12" xfId="0" applyFont="1" applyBorder="1" applyAlignment="1">
      <alignment horizontal="center"/>
    </xf>
    <xf numFmtId="0" fontId="8" fillId="0" borderId="0" xfId="0" applyFont="1" applyAlignment="1">
      <alignment horizontal="center"/>
    </xf>
    <xf numFmtId="0" fontId="8" fillId="0" borderId="0" xfId="0" applyFont="1" applyAlignment="1">
      <alignment horizontal="left"/>
    </xf>
    <xf numFmtId="0" fontId="8" fillId="0" borderId="12" xfId="0" applyFont="1" applyBorder="1" applyAlignment="1">
      <alignment horizontal="left"/>
    </xf>
    <xf numFmtId="1" fontId="0" fillId="0" borderId="12" xfId="0" applyNumberFormat="1" applyBorder="1"/>
    <xf numFmtId="0" fontId="0" fillId="112" borderId="0" xfId="0" applyFill="1"/>
    <xf numFmtId="0" fontId="8" fillId="112" borderId="0" xfId="0" applyFont="1" applyFill="1" applyAlignment="1">
      <alignment horizontal="left"/>
    </xf>
    <xf numFmtId="165" fontId="0" fillId="112" borderId="0" xfId="0" applyNumberFormat="1" applyFill="1"/>
    <xf numFmtId="0" fontId="8" fillId="0" borderId="0" xfId="0" applyFont="1" applyFill="1" applyAlignment="1">
      <alignment horizontal="left"/>
    </xf>
    <xf numFmtId="165" fontId="0" fillId="0" borderId="0" xfId="0" applyNumberFormat="1" applyFill="1"/>
    <xf numFmtId="164" fontId="0" fillId="112" borderId="0" xfId="0" applyNumberFormat="1" applyFill="1"/>
    <xf numFmtId="164" fontId="0" fillId="112" borderId="0" xfId="144" applyNumberFormat="1" applyFont="1" applyFill="1"/>
    <xf numFmtId="176" fontId="0" fillId="112" borderId="0" xfId="35795" applyNumberFormat="1" applyFont="1" applyFill="1"/>
    <xf numFmtId="176" fontId="0" fillId="0" borderId="0" xfId="35795" applyNumberFormat="1" applyFont="1" applyFill="1"/>
    <xf numFmtId="176" fontId="8" fillId="112" borderId="0" xfId="35795" applyNumberFormat="1" applyFont="1" applyFill="1"/>
    <xf numFmtId="176" fontId="0" fillId="0" borderId="0" xfId="35795" applyNumberFormat="1" applyFont="1"/>
    <xf numFmtId="176" fontId="8" fillId="112" borderId="0" xfId="35795" applyNumberFormat="1" applyFont="1" applyFill="1" applyAlignment="1">
      <alignment horizontal="left"/>
    </xf>
    <xf numFmtId="176" fontId="8" fillId="0" borderId="0" xfId="35795" applyNumberFormat="1" applyFont="1" applyFill="1"/>
    <xf numFmtId="176" fontId="8" fillId="0" borderId="0" xfId="35795" applyNumberFormat="1" applyFont="1" applyFill="1" applyAlignment="1">
      <alignment horizontal="left"/>
    </xf>
    <xf numFmtId="0" fontId="13" fillId="0" borderId="0" xfId="0" applyFont="1" applyFill="1" applyAlignment="1">
      <alignment horizontal="left"/>
    </xf>
    <xf numFmtId="176" fontId="13" fillId="0" borderId="0" xfId="35795" applyNumberFormat="1" applyFont="1" applyFill="1"/>
    <xf numFmtId="176" fontId="13" fillId="0" borderId="0" xfId="35795" applyNumberFormat="1" applyFont="1" applyFill="1" applyAlignment="1">
      <alignment horizontal="left"/>
    </xf>
    <xf numFmtId="0" fontId="8" fillId="0" borderId="0" xfId="0" applyFont="1" applyFill="1" applyAlignment="1">
      <alignment horizontal="left" indent="1"/>
    </xf>
    <xf numFmtId="0" fontId="8" fillId="112" borderId="0" xfId="0" applyFont="1" applyFill="1" applyAlignment="1">
      <alignment horizontal="left" indent="1"/>
    </xf>
    <xf numFmtId="176" fontId="8" fillId="0" borderId="0" xfId="35795" applyNumberFormat="1" applyFont="1" applyFill="1" applyAlignment="1">
      <alignment horizontal="left" indent="1"/>
    </xf>
    <xf numFmtId="176" fontId="8" fillId="112" borderId="0" xfId="35795" applyNumberFormat="1" applyFont="1" applyFill="1" applyAlignment="1">
      <alignment horizontal="left" indent="1"/>
    </xf>
    <xf numFmtId="165" fontId="13" fillId="0" borderId="0" xfId="0" applyNumberFormat="1" applyFont="1" applyFill="1"/>
    <xf numFmtId="0" fontId="13" fillId="0" borderId="0" xfId="0" applyFont="1" applyFill="1"/>
    <xf numFmtId="176" fontId="8" fillId="112" borderId="0" xfId="35795" applyNumberFormat="1" applyFont="1" applyFill="1" applyAlignment="1"/>
    <xf numFmtId="176" fontId="8" fillId="112" borderId="0" xfId="35795" applyNumberFormat="1" applyFont="1" applyFill="1" applyAlignment="1">
      <alignment horizontal="center"/>
    </xf>
    <xf numFmtId="176" fontId="8" fillId="0" borderId="0" xfId="35795" applyNumberFormat="1" applyFont="1" applyFill="1" applyAlignment="1">
      <alignment horizontal="center"/>
    </xf>
    <xf numFmtId="176" fontId="13" fillId="0" borderId="0" xfId="35795" applyNumberFormat="1" applyFont="1" applyFill="1" applyAlignment="1">
      <alignment horizontal="center"/>
    </xf>
    <xf numFmtId="0" fontId="8" fillId="112" borderId="0" xfId="0" applyFont="1" applyFill="1" applyAlignment="1">
      <alignment horizontal="center"/>
    </xf>
    <xf numFmtId="0" fontId="8" fillId="0" borderId="0" xfId="0" applyFont="1" applyFill="1" applyAlignment="1">
      <alignment horizontal="center"/>
    </xf>
    <xf numFmtId="0" fontId="13" fillId="0" borderId="0" xfId="0" applyFont="1" applyFill="1" applyAlignment="1">
      <alignment horizontal="center"/>
    </xf>
    <xf numFmtId="165" fontId="0" fillId="112" borderId="0" xfId="35795" applyNumberFormat="1" applyFont="1" applyFill="1"/>
    <xf numFmtId="165" fontId="0" fillId="0" borderId="0" xfId="35795" applyNumberFormat="1" applyFont="1" applyFill="1"/>
    <xf numFmtId="165" fontId="8" fillId="0" borderId="0" xfId="0" applyNumberFormat="1" applyFont="1" applyFill="1"/>
    <xf numFmtId="0" fontId="46" fillId="0" borderId="0" xfId="0" applyFont="1" applyFill="1" applyBorder="1" applyAlignment="1">
      <alignment horizontal="center" wrapText="1"/>
    </xf>
    <xf numFmtId="1" fontId="7" fillId="0" borderId="0" xfId="37761" applyNumberFormat="1" applyFont="1" applyBorder="1" applyAlignment="1">
      <alignment horizontal="center"/>
    </xf>
    <xf numFmtId="0" fontId="46" fillId="0" borderId="0" xfId="37761" applyFont="1" applyFill="1" applyBorder="1" applyAlignment="1">
      <alignment horizontal="center" vertical="center"/>
    </xf>
    <xf numFmtId="0" fontId="7" fillId="0" borderId="0" xfId="37761" applyFont="1" applyFill="1" applyBorder="1" applyAlignment="1">
      <alignment horizontal="right"/>
    </xf>
    <xf numFmtId="0" fontId="7" fillId="0" borderId="0" xfId="37761" applyFont="1" applyFill="1" applyBorder="1" applyAlignment="1">
      <alignment horizontal="left"/>
    </xf>
    <xf numFmtId="1" fontId="46" fillId="0" borderId="0" xfId="37761" applyNumberFormat="1" applyFont="1" applyBorder="1" applyAlignment="1">
      <alignment horizontal="center"/>
    </xf>
    <xf numFmtId="0" fontId="7" fillId="78" borderId="0" xfId="17973" applyFont="1" applyFill="1"/>
    <xf numFmtId="0" fontId="8" fillId="78" borderId="0" xfId="17973" applyFill="1"/>
    <xf numFmtId="0" fontId="7" fillId="78" borderId="0" xfId="17973" applyFont="1" applyFill="1" applyAlignment="1">
      <alignment horizontal="right" vertical="top" wrapText="1"/>
    </xf>
    <xf numFmtId="0" fontId="46" fillId="0" borderId="0" xfId="17973" applyFont="1" applyFill="1" applyBorder="1" applyAlignment="1">
      <alignment horizontal="center" vertical="center" wrapText="1"/>
    </xf>
    <xf numFmtId="0" fontId="7" fillId="0" borderId="11" xfId="17973" applyFont="1" applyBorder="1"/>
    <xf numFmtId="0" fontId="7" fillId="0" borderId="0" xfId="17973" applyFont="1" applyBorder="1" applyAlignment="1">
      <alignment horizontal="center"/>
    </xf>
    <xf numFmtId="0" fontId="7" fillId="0" borderId="0" xfId="17973" applyFont="1" applyBorder="1"/>
    <xf numFmtId="0" fontId="46" fillId="0" borderId="0" xfId="17973" applyFont="1" applyFill="1" applyBorder="1" applyAlignment="1">
      <alignment horizontal="left" vertical="top" wrapText="1"/>
    </xf>
    <xf numFmtId="0" fontId="46" fillId="0" borderId="0" xfId="17973" applyFont="1" applyFill="1" applyBorder="1" applyAlignment="1">
      <alignment horizontal="center" wrapText="1"/>
    </xf>
    <xf numFmtId="0" fontId="46" fillId="0" borderId="0" xfId="17973" applyFont="1" applyFill="1" applyBorder="1" applyAlignment="1">
      <alignment horizontal="right" vertical="center" wrapText="1"/>
    </xf>
    <xf numFmtId="0" fontId="51" fillId="0" borderId="12" xfId="37758" applyFont="1" applyFill="1" applyBorder="1" applyAlignment="1">
      <alignment vertical="center"/>
    </xf>
    <xf numFmtId="0" fontId="51" fillId="0" borderId="12" xfId="17973" applyFont="1" applyFill="1" applyBorder="1" applyAlignment="1">
      <alignment horizontal="center" wrapText="1"/>
    </xf>
    <xf numFmtId="0" fontId="51" fillId="0" borderId="12" xfId="17973" applyFont="1" applyFill="1" applyBorder="1" applyAlignment="1">
      <alignment horizontal="right" wrapText="1"/>
    </xf>
    <xf numFmtId="0" fontId="51" fillId="0" borderId="0" xfId="17973" applyFont="1"/>
    <xf numFmtId="166" fontId="120" fillId="0" borderId="0" xfId="37759" applyNumberFormat="1" applyFont="1" applyFill="1" applyBorder="1" applyAlignment="1">
      <alignment horizontal="right" wrapText="1" indent="1"/>
    </xf>
    <xf numFmtId="166" fontId="120" fillId="0" borderId="0" xfId="37759" applyNumberFormat="1" applyFont="1" applyFill="1" applyBorder="1" applyAlignment="1">
      <alignment horizontal="right" wrapText="1"/>
    </xf>
    <xf numFmtId="44" fontId="120" fillId="0" borderId="0" xfId="37759" quotePrefix="1" applyNumberFormat="1" applyFont="1" applyFill="1" applyBorder="1" applyAlignment="1">
      <alignment horizontal="right" wrapText="1" indent="2"/>
    </xf>
    <xf numFmtId="44" fontId="120" fillId="0" borderId="0" xfId="37759" quotePrefix="1" applyNumberFormat="1" applyFont="1" applyFill="1" applyBorder="1" applyAlignment="1">
      <alignment horizontal="right" wrapText="1" indent="1"/>
    </xf>
    <xf numFmtId="166" fontId="125" fillId="0" borderId="0" xfId="37759" applyNumberFormat="1" applyFont="1" applyFill="1" applyBorder="1" applyAlignment="1">
      <alignment horizontal="right" wrapText="1" indent="1"/>
    </xf>
    <xf numFmtId="3" fontId="46" fillId="0" borderId="0" xfId="37759" applyNumberFormat="1" applyFont="1" applyFill="1" applyBorder="1" applyAlignment="1">
      <alignment horizontal="right" wrapText="1" indent="1"/>
    </xf>
    <xf numFmtId="166" fontId="125" fillId="0" borderId="0" xfId="37759" applyNumberFormat="1" applyFont="1" applyFill="1" applyBorder="1" applyAlignment="1">
      <alignment horizontal="right" wrapText="1"/>
    </xf>
    <xf numFmtId="0" fontId="46" fillId="0" borderId="0" xfId="17973" applyFont="1"/>
    <xf numFmtId="166" fontId="120" fillId="0" borderId="12" xfId="37758" applyNumberFormat="1" applyFont="1" applyBorder="1" applyAlignment="1">
      <alignment horizontal="right" wrapText="1" indent="1"/>
    </xf>
    <xf numFmtId="166" fontId="7" fillId="0" borderId="12" xfId="37758" applyNumberFormat="1" applyFont="1" applyBorder="1" applyAlignment="1">
      <alignment horizontal="right" wrapText="1" indent="1"/>
    </xf>
    <xf numFmtId="44" fontId="120" fillId="0" borderId="12" xfId="37758" applyNumberFormat="1" applyFont="1" applyBorder="1" applyAlignment="1">
      <alignment horizontal="right" wrapText="1" indent="1"/>
    </xf>
    <xf numFmtId="166" fontId="120" fillId="0" borderId="0" xfId="37758" applyNumberFormat="1" applyFont="1" applyBorder="1" applyAlignment="1">
      <alignment horizontal="right" wrapText="1" indent="1"/>
    </xf>
    <xf numFmtId="166" fontId="7" fillId="0" borderId="0" xfId="37758" applyNumberFormat="1" applyFont="1" applyBorder="1" applyAlignment="1">
      <alignment horizontal="right" wrapText="1" indent="1"/>
    </xf>
    <xf numFmtId="44" fontId="120" fillId="0" borderId="0" xfId="37758" applyNumberFormat="1" applyFont="1" applyBorder="1" applyAlignment="1">
      <alignment horizontal="right" wrapText="1" indent="1"/>
    </xf>
    <xf numFmtId="166" fontId="120" fillId="0" borderId="0" xfId="37758" applyNumberFormat="1" applyFont="1" applyFill="1" applyBorder="1" applyAlignment="1">
      <alignment horizontal="right" wrapText="1" indent="1"/>
    </xf>
    <xf numFmtId="166" fontId="7" fillId="0" borderId="0" xfId="37758" applyNumberFormat="1" applyFont="1" applyFill="1" applyBorder="1" applyAlignment="1">
      <alignment horizontal="right" wrapText="1" indent="1"/>
    </xf>
    <xf numFmtId="44" fontId="120" fillId="0" borderId="0" xfId="37758" applyNumberFormat="1" applyFont="1" applyFill="1" applyBorder="1" applyAlignment="1">
      <alignment horizontal="right" wrapText="1" indent="1"/>
    </xf>
    <xf numFmtId="3" fontId="7" fillId="0" borderId="11" xfId="37758" applyNumberFormat="1" applyFont="1" applyFill="1" applyBorder="1" applyAlignment="1">
      <alignment horizontal="right" wrapText="1" indent="1"/>
    </xf>
    <xf numFmtId="0" fontId="46" fillId="0" borderId="0" xfId="131" applyFont="1" applyFill="1" applyBorder="1" applyAlignment="1">
      <alignment horizontal="left" vertical="top"/>
    </xf>
    <xf numFmtId="0" fontId="46" fillId="0" borderId="0" xfId="37758" applyFont="1" applyFill="1" applyBorder="1" applyAlignment="1">
      <alignment horizontal="left" vertical="center"/>
    </xf>
    <xf numFmtId="0" fontId="46" fillId="0" borderId="0" xfId="0" applyFont="1" applyFill="1" applyBorder="1" applyAlignment="1">
      <alignment horizontal="center" wrapText="1"/>
    </xf>
    <xf numFmtId="0" fontId="122" fillId="0" borderId="0" xfId="17973" applyFont="1" applyFill="1" applyBorder="1" applyAlignment="1">
      <alignment horizontal="left" vertical="center"/>
    </xf>
    <xf numFmtId="0" fontId="121" fillId="0" borderId="0" xfId="37774" applyFont="1" applyFill="1" applyAlignment="1">
      <alignment vertical="top" wrapText="1"/>
    </xf>
    <xf numFmtId="0" fontId="8" fillId="0" borderId="0" xfId="17973" applyFill="1" applyAlignment="1">
      <alignment vertical="top" wrapText="1"/>
    </xf>
    <xf numFmtId="0" fontId="122" fillId="104" borderId="0" xfId="37881" applyFont="1" applyFill="1" applyAlignment="1">
      <alignment horizontal="center"/>
    </xf>
    <xf numFmtId="0" fontId="122" fillId="102" borderId="0" xfId="37881" applyFont="1" applyFill="1" applyAlignment="1">
      <alignment horizontal="center"/>
    </xf>
    <xf numFmtId="0" fontId="122" fillId="103" borderId="0" xfId="37881" applyFont="1" applyFill="1" applyAlignment="1">
      <alignment horizontal="center"/>
    </xf>
    <xf numFmtId="0" fontId="122" fillId="105" borderId="0" xfId="37881" applyFont="1" applyFill="1" applyBorder="1" applyAlignment="1">
      <alignment horizontal="center"/>
    </xf>
    <xf numFmtId="0" fontId="122" fillId="105" borderId="12" xfId="37881" applyFont="1" applyFill="1" applyBorder="1" applyAlignment="1">
      <alignment horizontal="center"/>
    </xf>
    <xf numFmtId="0" fontId="122" fillId="106" borderId="12" xfId="37881" applyFont="1" applyFill="1" applyBorder="1" applyAlignment="1">
      <alignment horizontal="center"/>
    </xf>
    <xf numFmtId="0" fontId="122" fillId="107" borderId="0" xfId="37881" applyFont="1" applyFill="1" applyBorder="1" applyAlignment="1">
      <alignment horizontal="center" vertical="center"/>
    </xf>
    <xf numFmtId="176" fontId="7" fillId="0" borderId="0" xfId="37884" applyNumberFormat="1" applyFont="1" applyFill="1" applyBorder="1" applyAlignment="1">
      <alignment horizontal="center"/>
    </xf>
    <xf numFmtId="176" fontId="121" fillId="0" borderId="0" xfId="37884" applyNumberFormat="1" applyFont="1" applyBorder="1" applyAlignment="1">
      <alignment horizontal="left" wrapText="1"/>
    </xf>
    <xf numFmtId="176" fontId="121" fillId="0" borderId="0" xfId="37884" applyNumberFormat="1" applyFont="1" applyBorder="1" applyAlignment="1">
      <alignment horizontal="left" vertical="top" wrapText="1"/>
    </xf>
    <xf numFmtId="0" fontId="121" fillId="0" borderId="0" xfId="37881" applyFont="1" applyBorder="1" applyAlignment="1">
      <alignment horizontal="left"/>
    </xf>
    <xf numFmtId="0" fontId="121" fillId="0" borderId="0" xfId="37881" applyFont="1" applyAlignment="1">
      <alignment horizontal="left" vertical="top" wrapText="1"/>
    </xf>
    <xf numFmtId="0" fontId="151" fillId="0" borderId="43" xfId="37881" applyFont="1" applyBorder="1" applyAlignment="1">
      <alignment horizontal="left" vertical="center" wrapText="1"/>
    </xf>
    <xf numFmtId="0" fontId="151" fillId="0" borderId="44" xfId="37881" applyFont="1" applyBorder="1" applyAlignment="1">
      <alignment horizontal="left" vertical="center" wrapText="1"/>
    </xf>
    <xf numFmtId="0" fontId="121" fillId="0" borderId="0" xfId="37881" applyFont="1" applyBorder="1" applyAlignment="1">
      <alignment horizontal="center"/>
    </xf>
    <xf numFmtId="0" fontId="121" fillId="0" borderId="0" xfId="37881" applyFont="1" applyFill="1" applyBorder="1" applyAlignment="1">
      <alignment horizontal="center"/>
    </xf>
    <xf numFmtId="0" fontId="7" fillId="0" borderId="0" xfId="37881" applyFont="1" applyFill="1" applyBorder="1" applyAlignment="1">
      <alignment horizontal="left" vertical="top" wrapText="1"/>
    </xf>
    <xf numFmtId="0" fontId="121" fillId="0" borderId="0" xfId="37881" applyFont="1" applyFill="1" applyBorder="1" applyAlignment="1">
      <alignment horizontal="left" vertical="top" wrapText="1"/>
    </xf>
    <xf numFmtId="0" fontId="7" fillId="0" borderId="0" xfId="37881" applyFont="1" applyFill="1" applyBorder="1" applyAlignment="1">
      <alignment horizontal="center" vertical="center" wrapText="1"/>
    </xf>
    <xf numFmtId="0" fontId="7" fillId="0" borderId="0" xfId="37881" applyFont="1" applyBorder="1" applyAlignment="1">
      <alignment horizontal="center" vertical="center"/>
    </xf>
    <xf numFmtId="0" fontId="121" fillId="0" borderId="0" xfId="37881" applyFont="1" applyFill="1" applyAlignment="1">
      <alignment horizontal="center" wrapText="1"/>
    </xf>
    <xf numFmtId="0" fontId="121" fillId="0" borderId="0" xfId="37881" applyFont="1" applyAlignment="1">
      <alignment horizontal="left" wrapText="1"/>
    </xf>
    <xf numFmtId="0" fontId="121" fillId="0" borderId="0" xfId="37881" applyFont="1" applyAlignment="1">
      <alignment horizontal="center" wrapText="1"/>
    </xf>
    <xf numFmtId="0" fontId="121" fillId="0" borderId="0" xfId="37881" applyFont="1" applyAlignment="1">
      <alignment horizontal="center"/>
    </xf>
  </cellXfs>
  <cellStyles count="37886">
    <cellStyle name="_x0013_" xfId="1"/>
    <cellStyle name="_Project 150 and FCM Data check" xfId="2"/>
    <cellStyle name="_x0010_“+ˆÉ•?pý¤" xfId="3"/>
    <cellStyle name="20% - Accent1" xfId="4" builtinId="30" customBuiltin="1"/>
    <cellStyle name="20% - Accent1 2" xfId="5"/>
    <cellStyle name="20% - Accent1 2 2" xfId="37776"/>
    <cellStyle name="20% - Accent1 2 3" xfId="37777"/>
    <cellStyle name="20% - Accent1 3" xfId="37581"/>
    <cellStyle name="20% - Accent1 3 2" xfId="37778"/>
    <cellStyle name="20% - Accent1 4" xfId="37582"/>
    <cellStyle name="20% - Accent1 5" xfId="37583"/>
    <cellStyle name="20% - Accent1 6" xfId="37779"/>
    <cellStyle name="20% - Accent2" xfId="6" builtinId="34" customBuiltin="1"/>
    <cellStyle name="20% - Accent2 2" xfId="7"/>
    <cellStyle name="20% - Accent2 2 2" xfId="37780"/>
    <cellStyle name="20% - Accent2 2 3" xfId="37781"/>
    <cellStyle name="20% - Accent2 3" xfId="37584"/>
    <cellStyle name="20% - Accent2 3 2" xfId="37782"/>
    <cellStyle name="20% - Accent2 4" xfId="37585"/>
    <cellStyle name="20% - Accent2 5" xfId="37586"/>
    <cellStyle name="20% - Accent2 6" xfId="37783"/>
    <cellStyle name="20% - Accent3" xfId="8" builtinId="38" customBuiltin="1"/>
    <cellStyle name="20% - Accent3 2" xfId="9"/>
    <cellStyle name="20% - Accent3 2 2" xfId="37784"/>
    <cellStyle name="20% - Accent3 2 3" xfId="37785"/>
    <cellStyle name="20% - Accent3 3" xfId="37587"/>
    <cellStyle name="20% - Accent3 3 2" xfId="37786"/>
    <cellStyle name="20% - Accent3 4" xfId="37588"/>
    <cellStyle name="20% - Accent3 5" xfId="37589"/>
    <cellStyle name="20% - Accent3 6" xfId="37787"/>
    <cellStyle name="20% - Accent4" xfId="10" builtinId="42" customBuiltin="1"/>
    <cellStyle name="20% - Accent4 2" xfId="11"/>
    <cellStyle name="20% - Accent4 2 2" xfId="37788"/>
    <cellStyle name="20% - Accent4 2 3" xfId="37789"/>
    <cellStyle name="20% - Accent4 3" xfId="37590"/>
    <cellStyle name="20% - Accent4 3 2" xfId="37790"/>
    <cellStyle name="20% - Accent4 4" xfId="37591"/>
    <cellStyle name="20% - Accent4 5" xfId="37592"/>
    <cellStyle name="20% - Accent4 6" xfId="37791"/>
    <cellStyle name="20% - Accent5" xfId="12" builtinId="46" customBuiltin="1"/>
    <cellStyle name="20% - Accent5 2" xfId="13"/>
    <cellStyle name="20% - Accent5 2 2" xfId="37792"/>
    <cellStyle name="20% - Accent5 2 3" xfId="37793"/>
    <cellStyle name="20% - Accent5 3" xfId="37593"/>
    <cellStyle name="20% - Accent5 3 2" xfId="37794"/>
    <cellStyle name="20% - Accent5 4" xfId="37594"/>
    <cellStyle name="20% - Accent5 5" xfId="37595"/>
    <cellStyle name="20% - Accent5 6" xfId="37795"/>
    <cellStyle name="20% - Accent6" xfId="14" builtinId="50" customBuiltin="1"/>
    <cellStyle name="20% - Accent6 2" xfId="15"/>
    <cellStyle name="20% - Accent6 2 2" xfId="37796"/>
    <cellStyle name="20% - Accent6 2 3" xfId="37797"/>
    <cellStyle name="20% - Accent6 3" xfId="37596"/>
    <cellStyle name="20% - Accent6 3 2" xfId="37798"/>
    <cellStyle name="20% - Accent6 4" xfId="37597"/>
    <cellStyle name="20% - Accent6 5" xfId="37598"/>
    <cellStyle name="20% - Accent6 6" xfId="37799"/>
    <cellStyle name="40% - Accent1" xfId="16" builtinId="31" customBuiltin="1"/>
    <cellStyle name="40% - Accent1 2" xfId="17"/>
    <cellStyle name="40% - Accent1 2 2" xfId="37800"/>
    <cellStyle name="40% - Accent1 2 3" xfId="37801"/>
    <cellStyle name="40% - Accent1 3" xfId="37599"/>
    <cellStyle name="40% - Accent1 3 2" xfId="37802"/>
    <cellStyle name="40% - Accent1 4" xfId="37600"/>
    <cellStyle name="40% - Accent1 5" xfId="37601"/>
    <cellStyle name="40% - Accent1 6" xfId="37803"/>
    <cellStyle name="40% - Accent2" xfId="18" builtinId="35" customBuiltin="1"/>
    <cellStyle name="40% - Accent2 2" xfId="19"/>
    <cellStyle name="40% - Accent2 2 2" xfId="37804"/>
    <cellStyle name="40% - Accent2 2 3" xfId="37805"/>
    <cellStyle name="40% - Accent2 3" xfId="37602"/>
    <cellStyle name="40% - Accent2 3 2" xfId="37806"/>
    <cellStyle name="40% - Accent2 4" xfId="37603"/>
    <cellStyle name="40% - Accent2 5" xfId="37604"/>
    <cellStyle name="40% - Accent2 6" xfId="37807"/>
    <cellStyle name="40% - Accent3" xfId="20" builtinId="39" customBuiltin="1"/>
    <cellStyle name="40% - Accent3 2" xfId="21"/>
    <cellStyle name="40% - Accent3 2 2" xfId="37808"/>
    <cellStyle name="40% - Accent3 2 3" xfId="37809"/>
    <cellStyle name="40% - Accent3 3" xfId="37605"/>
    <cellStyle name="40% - Accent3 3 2" xfId="37810"/>
    <cellStyle name="40% - Accent3 4" xfId="37606"/>
    <cellStyle name="40% - Accent3 5" xfId="37607"/>
    <cellStyle name="40% - Accent3 6" xfId="37811"/>
    <cellStyle name="40% - Accent4" xfId="22" builtinId="43" customBuiltin="1"/>
    <cellStyle name="40% - Accent4 2" xfId="23"/>
    <cellStyle name="40% - Accent4 2 2" xfId="37812"/>
    <cellStyle name="40% - Accent4 2 3" xfId="37813"/>
    <cellStyle name="40% - Accent4 3" xfId="37608"/>
    <cellStyle name="40% - Accent4 3 2" xfId="37814"/>
    <cellStyle name="40% - Accent4 4" xfId="37609"/>
    <cellStyle name="40% - Accent4 5" xfId="37610"/>
    <cellStyle name="40% - Accent4 6" xfId="37815"/>
    <cellStyle name="40% - Accent5" xfId="24" builtinId="47" customBuiltin="1"/>
    <cellStyle name="40% - Accent5 2" xfId="25"/>
    <cellStyle name="40% - Accent5 2 2" xfId="37816"/>
    <cellStyle name="40% - Accent5 2 3" xfId="37817"/>
    <cellStyle name="40% - Accent5 3" xfId="37611"/>
    <cellStyle name="40% - Accent5 3 2" xfId="37818"/>
    <cellStyle name="40% - Accent5 4" xfId="37612"/>
    <cellStyle name="40% - Accent5 5" xfId="37613"/>
    <cellStyle name="40% - Accent5 6" xfId="37819"/>
    <cellStyle name="40% - Accent6" xfId="26" builtinId="51" customBuiltin="1"/>
    <cellStyle name="40% - Accent6 2" xfId="27"/>
    <cellStyle name="40% - Accent6 2 2" xfId="37820"/>
    <cellStyle name="40% - Accent6 2 3" xfId="37821"/>
    <cellStyle name="40% - Accent6 3" xfId="37614"/>
    <cellStyle name="40% - Accent6 3 2" xfId="37822"/>
    <cellStyle name="40% - Accent6 4" xfId="37615"/>
    <cellStyle name="40% - Accent6 5" xfId="37616"/>
    <cellStyle name="40% - Accent6 6" xfId="37823"/>
    <cellStyle name="60% - Accent1" xfId="28" builtinId="32" customBuiltin="1"/>
    <cellStyle name="60% - Accent1 2" xfId="185"/>
    <cellStyle name="60% - Accent1 3" xfId="37617"/>
    <cellStyle name="60% - Accent1 4" xfId="37618"/>
    <cellStyle name="60% - Accent1 5" xfId="37619"/>
    <cellStyle name="60% - Accent1 6" xfId="37824"/>
    <cellStyle name="60% - Accent2" xfId="29" builtinId="36" customBuiltin="1"/>
    <cellStyle name="60% - Accent2 2" xfId="186"/>
    <cellStyle name="60% - Accent2 3" xfId="37620"/>
    <cellStyle name="60% - Accent2 4" xfId="37621"/>
    <cellStyle name="60% - Accent2 5" xfId="37622"/>
    <cellStyle name="60% - Accent2 6" xfId="37825"/>
    <cellStyle name="60% - Accent3" xfId="30" builtinId="40" customBuiltin="1"/>
    <cellStyle name="60% - Accent3 2" xfId="187"/>
    <cellStyle name="60% - Accent3 3" xfId="37623"/>
    <cellStyle name="60% - Accent3 4" xfId="37624"/>
    <cellStyle name="60% - Accent3 5" xfId="37625"/>
    <cellStyle name="60% - Accent3 6" xfId="37826"/>
    <cellStyle name="60% - Accent4" xfId="31" builtinId="44" customBuiltin="1"/>
    <cellStyle name="60% - Accent4 2" xfId="188"/>
    <cellStyle name="60% - Accent4 3" xfId="37626"/>
    <cellStyle name="60% - Accent4 4" xfId="37627"/>
    <cellStyle name="60% - Accent4 5" xfId="37628"/>
    <cellStyle name="60% - Accent4 6" xfId="37827"/>
    <cellStyle name="60% - Accent5" xfId="32" builtinId="48" customBuiltin="1"/>
    <cellStyle name="60% - Accent5 2" xfId="189"/>
    <cellStyle name="60% - Accent5 3" xfId="37629"/>
    <cellStyle name="60% - Accent5 4" xfId="37630"/>
    <cellStyle name="60% - Accent5 5" xfId="37631"/>
    <cellStyle name="60% - Accent5 6" xfId="37828"/>
    <cellStyle name="60% - Accent6" xfId="33" builtinId="52" customBuiltin="1"/>
    <cellStyle name="60% - Accent6 2" xfId="190"/>
    <cellStyle name="60% - Accent6 3" xfId="37632"/>
    <cellStyle name="60% - Accent6 4" xfId="37633"/>
    <cellStyle name="60% - Accent6 5" xfId="37634"/>
    <cellStyle name="60% - Accent6 6" xfId="37829"/>
    <cellStyle name="Accent1" xfId="34" builtinId="29" customBuiltin="1"/>
    <cellStyle name="Accent1 - 20%" xfId="37635"/>
    <cellStyle name="Accent1 - 40%" xfId="37636"/>
    <cellStyle name="Accent1 - 60%" xfId="37637"/>
    <cellStyle name="Accent1 2" xfId="191"/>
    <cellStyle name="Accent1 3" xfId="37638"/>
    <cellStyle name="Accent1 4" xfId="37639"/>
    <cellStyle name="Accent1 5" xfId="37640"/>
    <cellStyle name="Accent1 6" xfId="37830"/>
    <cellStyle name="Accent2" xfId="35" builtinId="33" customBuiltin="1"/>
    <cellStyle name="Accent2 - 20%" xfId="37641"/>
    <cellStyle name="Accent2 - 40%" xfId="37642"/>
    <cellStyle name="Accent2 - 60%" xfId="37643"/>
    <cellStyle name="Accent2 2" xfId="192"/>
    <cellStyle name="Accent2 3" xfId="37644"/>
    <cellStyle name="Accent2 4" xfId="37645"/>
    <cellStyle name="Accent2 5" xfId="37646"/>
    <cellStyle name="Accent2 6" xfId="37831"/>
    <cellStyle name="Accent3" xfId="36" builtinId="37" customBuiltin="1"/>
    <cellStyle name="Accent3 - 20%" xfId="37647"/>
    <cellStyle name="Accent3 - 40%" xfId="37648"/>
    <cellStyle name="Accent3 - 60%" xfId="37649"/>
    <cellStyle name="Accent3 2" xfId="193"/>
    <cellStyle name="Accent3 3" xfId="37650"/>
    <cellStyle name="Accent3 4" xfId="37651"/>
    <cellStyle name="Accent3 5" xfId="37652"/>
    <cellStyle name="Accent3 6" xfId="37832"/>
    <cellStyle name="Accent4" xfId="37" builtinId="41" customBuiltin="1"/>
    <cellStyle name="Accent4 - 20%" xfId="37653"/>
    <cellStyle name="Accent4 - 40%" xfId="37654"/>
    <cellStyle name="Accent4 - 60%" xfId="37655"/>
    <cellStyle name="Accent4 2" xfId="194"/>
    <cellStyle name="Accent4 3" xfId="37656"/>
    <cellStyle name="Accent4 4" xfId="37657"/>
    <cellStyle name="Accent4 5" xfId="37658"/>
    <cellStyle name="Accent4 6" xfId="37833"/>
    <cellStyle name="Accent5" xfId="38" builtinId="45" customBuiltin="1"/>
    <cellStyle name="Accent5 - 20%" xfId="37659"/>
    <cellStyle name="Accent5 - 40%" xfId="37660"/>
    <cellStyle name="Accent5 - 60%" xfId="37661"/>
    <cellStyle name="Accent5 2" xfId="195"/>
    <cellStyle name="Accent5 3" xfId="37662"/>
    <cellStyle name="Accent5 4" xfId="37663"/>
    <cellStyle name="Accent5 5" xfId="37664"/>
    <cellStyle name="Accent5 6" xfId="37834"/>
    <cellStyle name="Accent6" xfId="39" builtinId="49" customBuiltin="1"/>
    <cellStyle name="Accent6 - 20%" xfId="37665"/>
    <cellStyle name="Accent6 - 40%" xfId="37666"/>
    <cellStyle name="Accent6 - 60%" xfId="37667"/>
    <cellStyle name="Accent6 2" xfId="196"/>
    <cellStyle name="Accent6 3" xfId="37668"/>
    <cellStyle name="Accent6 4" xfId="37669"/>
    <cellStyle name="Accent6 5" xfId="37670"/>
    <cellStyle name="Accent6 6" xfId="37835"/>
    <cellStyle name="Bad" xfId="40" builtinId="27" customBuiltin="1"/>
    <cellStyle name="Bad 2" xfId="197"/>
    <cellStyle name="Bad 3" xfId="37671"/>
    <cellStyle name="Bad 4" xfId="37672"/>
    <cellStyle name="Bad 5" xfId="37673"/>
    <cellStyle name="Bad 6" xfId="37836"/>
    <cellStyle name="Biomass" xfId="41"/>
    <cellStyle name="Calculation" xfId="42" builtinId="22" customBuiltin="1"/>
    <cellStyle name="Calculation 2" xfId="198"/>
    <cellStyle name="Calculation 3" xfId="37674"/>
    <cellStyle name="Calculation 4" xfId="37675"/>
    <cellStyle name="Calculation 5" xfId="37676"/>
    <cellStyle name="Calculation 6" xfId="37837"/>
    <cellStyle name="Check Cell" xfId="43" builtinId="23" customBuiltin="1"/>
    <cellStyle name="Check Cell 2" xfId="199"/>
    <cellStyle name="Check Cell 3" xfId="37677"/>
    <cellStyle name="Check Cell 4" xfId="37678"/>
    <cellStyle name="Check Cell 5" xfId="37679"/>
    <cellStyle name="Check Cell 6" xfId="37838"/>
    <cellStyle name="Comma" xfId="35795" builtinId="3"/>
    <cellStyle name="Comma 2" xfId="44"/>
    <cellStyle name="Comma 2 10" xfId="200"/>
    <cellStyle name="Comma 2 10 2" xfId="201"/>
    <cellStyle name="Comma 2 10 2 2" xfId="202"/>
    <cellStyle name="Comma 2 10 2 2 2" xfId="203"/>
    <cellStyle name="Comma 2 10 2 2 2 2" xfId="204"/>
    <cellStyle name="Comma 2 10 2 2 2 3" xfId="205"/>
    <cellStyle name="Comma 2 10 2 2 3" xfId="206"/>
    <cellStyle name="Comma 2 10 2 2 3 2" xfId="207"/>
    <cellStyle name="Comma 2 10 2 2 4" xfId="208"/>
    <cellStyle name="Comma 2 10 2 3" xfId="209"/>
    <cellStyle name="Comma 2 10 2 3 2" xfId="210"/>
    <cellStyle name="Comma 2 10 2 3 2 2" xfId="211"/>
    <cellStyle name="Comma 2 10 2 3 3" xfId="212"/>
    <cellStyle name="Comma 2 10 2 4" xfId="213"/>
    <cellStyle name="Comma 2 10 2 4 2" xfId="214"/>
    <cellStyle name="Comma 2 10 2 4 3" xfId="215"/>
    <cellStyle name="Comma 2 10 2 5" xfId="216"/>
    <cellStyle name="Comma 2 10 2 5 2" xfId="217"/>
    <cellStyle name="Comma 2 10 2 6" xfId="218"/>
    <cellStyle name="Comma 2 10 2 6 2" xfId="35800"/>
    <cellStyle name="Comma 2 10 2 7" xfId="219"/>
    <cellStyle name="Comma 2 10 3" xfId="220"/>
    <cellStyle name="Comma 2 10 3 2" xfId="221"/>
    <cellStyle name="Comma 2 10 3 2 2" xfId="222"/>
    <cellStyle name="Comma 2 10 3 2 2 2" xfId="223"/>
    <cellStyle name="Comma 2 10 3 2 3" xfId="224"/>
    <cellStyle name="Comma 2 10 3 3" xfId="225"/>
    <cellStyle name="Comma 2 10 3 3 2" xfId="226"/>
    <cellStyle name="Comma 2 10 3 4" xfId="227"/>
    <cellStyle name="Comma 2 10 4" xfId="228"/>
    <cellStyle name="Comma 2 10 4 2" xfId="229"/>
    <cellStyle name="Comma 2 10 4 2 2" xfId="230"/>
    <cellStyle name="Comma 2 10 4 3" xfId="231"/>
    <cellStyle name="Comma 2 10 5" xfId="232"/>
    <cellStyle name="Comma 2 10 5 2" xfId="233"/>
    <cellStyle name="Comma 2 10 5 2 2" xfId="234"/>
    <cellStyle name="Comma 2 10 5 3" xfId="235"/>
    <cellStyle name="Comma 2 10 6" xfId="236"/>
    <cellStyle name="Comma 2 10 6 2" xfId="237"/>
    <cellStyle name="Comma 2 10 7" xfId="238"/>
    <cellStyle name="Comma 2 10 7 2" xfId="35801"/>
    <cellStyle name="Comma 2 10 8" xfId="239"/>
    <cellStyle name="Comma 2 11" xfId="240"/>
    <cellStyle name="Comma 2 11 2" xfId="241"/>
    <cellStyle name="Comma 2 11 2 2" xfId="242"/>
    <cellStyle name="Comma 2 11 2 2 2" xfId="243"/>
    <cellStyle name="Comma 2 11 2 2 2 2" xfId="244"/>
    <cellStyle name="Comma 2 11 2 2 2 3" xfId="245"/>
    <cellStyle name="Comma 2 11 2 2 3" xfId="246"/>
    <cellStyle name="Comma 2 11 2 2 3 2" xfId="247"/>
    <cellStyle name="Comma 2 11 2 2 4" xfId="248"/>
    <cellStyle name="Comma 2 11 2 3" xfId="249"/>
    <cellStyle name="Comma 2 11 2 3 2" xfId="250"/>
    <cellStyle name="Comma 2 11 2 3 2 2" xfId="251"/>
    <cellStyle name="Comma 2 11 2 3 3" xfId="252"/>
    <cellStyle name="Comma 2 11 2 4" xfId="253"/>
    <cellStyle name="Comma 2 11 2 4 2" xfId="254"/>
    <cellStyle name="Comma 2 11 2 4 3" xfId="255"/>
    <cellStyle name="Comma 2 11 2 5" xfId="256"/>
    <cellStyle name="Comma 2 11 2 5 2" xfId="257"/>
    <cellStyle name="Comma 2 11 2 6" xfId="258"/>
    <cellStyle name="Comma 2 11 2 6 2" xfId="35802"/>
    <cellStyle name="Comma 2 11 2 7" xfId="259"/>
    <cellStyle name="Comma 2 11 3" xfId="260"/>
    <cellStyle name="Comma 2 11 3 2" xfId="261"/>
    <cellStyle name="Comma 2 11 3 2 2" xfId="262"/>
    <cellStyle name="Comma 2 11 3 2 2 2" xfId="263"/>
    <cellStyle name="Comma 2 11 3 2 3" xfId="264"/>
    <cellStyle name="Comma 2 11 3 3" xfId="265"/>
    <cellStyle name="Comma 2 11 3 3 2" xfId="266"/>
    <cellStyle name="Comma 2 11 3 4" xfId="267"/>
    <cellStyle name="Comma 2 11 4" xfId="268"/>
    <cellStyle name="Comma 2 11 4 2" xfId="269"/>
    <cellStyle name="Comma 2 11 4 2 2" xfId="270"/>
    <cellStyle name="Comma 2 11 4 3" xfId="271"/>
    <cellStyle name="Comma 2 11 5" xfId="272"/>
    <cellStyle name="Comma 2 11 5 2" xfId="273"/>
    <cellStyle name="Comma 2 11 5 2 2" xfId="274"/>
    <cellStyle name="Comma 2 11 5 3" xfId="275"/>
    <cellStyle name="Comma 2 11 6" xfId="276"/>
    <cellStyle name="Comma 2 11 6 2" xfId="277"/>
    <cellStyle name="Comma 2 11 7" xfId="278"/>
    <cellStyle name="Comma 2 11 7 2" xfId="35803"/>
    <cellStyle name="Comma 2 11 8" xfId="279"/>
    <cellStyle name="Comma 2 12" xfId="280"/>
    <cellStyle name="Comma 2 12 2" xfId="281"/>
    <cellStyle name="Comma 2 12 2 2" xfId="282"/>
    <cellStyle name="Comma 2 12 2 2 2" xfId="283"/>
    <cellStyle name="Comma 2 12 2 2 2 2" xfId="284"/>
    <cellStyle name="Comma 2 12 2 2 2 3" xfId="285"/>
    <cellStyle name="Comma 2 12 2 2 3" xfId="286"/>
    <cellStyle name="Comma 2 12 2 2 3 2" xfId="287"/>
    <cellStyle name="Comma 2 12 2 2 4" xfId="288"/>
    <cellStyle name="Comma 2 12 2 3" xfId="289"/>
    <cellStyle name="Comma 2 12 2 3 2" xfId="290"/>
    <cellStyle name="Comma 2 12 2 3 2 2" xfId="291"/>
    <cellStyle name="Comma 2 12 2 3 3" xfId="292"/>
    <cellStyle name="Comma 2 12 2 4" xfId="293"/>
    <cellStyle name="Comma 2 12 2 4 2" xfId="294"/>
    <cellStyle name="Comma 2 12 2 4 3" xfId="295"/>
    <cellStyle name="Comma 2 12 2 5" xfId="296"/>
    <cellStyle name="Comma 2 12 2 5 2" xfId="297"/>
    <cellStyle name="Comma 2 12 2 6" xfId="298"/>
    <cellStyle name="Comma 2 12 2 6 2" xfId="35804"/>
    <cellStyle name="Comma 2 12 2 7" xfId="299"/>
    <cellStyle name="Comma 2 12 3" xfId="300"/>
    <cellStyle name="Comma 2 12 3 2" xfId="301"/>
    <cellStyle name="Comma 2 12 3 2 2" xfId="302"/>
    <cellStyle name="Comma 2 12 3 2 2 2" xfId="303"/>
    <cellStyle name="Comma 2 12 3 2 3" xfId="304"/>
    <cellStyle name="Comma 2 12 3 3" xfId="305"/>
    <cellStyle name="Comma 2 12 3 3 2" xfId="306"/>
    <cellStyle name="Comma 2 12 3 4" xfId="307"/>
    <cellStyle name="Comma 2 12 4" xfId="308"/>
    <cellStyle name="Comma 2 12 4 2" xfId="309"/>
    <cellStyle name="Comma 2 12 4 2 2" xfId="310"/>
    <cellStyle name="Comma 2 12 4 3" xfId="311"/>
    <cellStyle name="Comma 2 12 5" xfId="312"/>
    <cellStyle name="Comma 2 12 5 2" xfId="313"/>
    <cellStyle name="Comma 2 12 5 2 2" xfId="314"/>
    <cellStyle name="Comma 2 12 5 3" xfId="315"/>
    <cellStyle name="Comma 2 12 6" xfId="316"/>
    <cellStyle name="Comma 2 12 6 2" xfId="317"/>
    <cellStyle name="Comma 2 12 7" xfId="318"/>
    <cellStyle name="Comma 2 12 7 2" xfId="35805"/>
    <cellStyle name="Comma 2 12 8" xfId="319"/>
    <cellStyle name="Comma 2 13" xfId="320"/>
    <cellStyle name="Comma 2 13 2" xfId="321"/>
    <cellStyle name="Comma 2 13 2 2" xfId="322"/>
    <cellStyle name="Comma 2 13 2 2 2" xfId="323"/>
    <cellStyle name="Comma 2 13 2 2 3" xfId="324"/>
    <cellStyle name="Comma 2 13 2 3" xfId="325"/>
    <cellStyle name="Comma 2 13 2 3 2" xfId="326"/>
    <cellStyle name="Comma 2 13 2 4" xfId="327"/>
    <cellStyle name="Comma 2 13 3" xfId="328"/>
    <cellStyle name="Comma 2 13 3 2" xfId="329"/>
    <cellStyle name="Comma 2 13 3 2 2" xfId="330"/>
    <cellStyle name="Comma 2 13 3 3" xfId="331"/>
    <cellStyle name="Comma 2 13 4" xfId="332"/>
    <cellStyle name="Comma 2 13 4 2" xfId="333"/>
    <cellStyle name="Comma 2 13 4 3" xfId="334"/>
    <cellStyle name="Comma 2 13 5" xfId="335"/>
    <cellStyle name="Comma 2 13 5 2" xfId="336"/>
    <cellStyle name="Comma 2 13 6" xfId="337"/>
    <cellStyle name="Comma 2 13 6 2" xfId="35806"/>
    <cellStyle name="Comma 2 13 7" xfId="338"/>
    <cellStyle name="Comma 2 14" xfId="339"/>
    <cellStyle name="Comma 2 14 2" xfId="340"/>
    <cellStyle name="Comma 2 14 2 2" xfId="341"/>
    <cellStyle name="Comma 2 14 2 2 2" xfId="342"/>
    <cellStyle name="Comma 2 14 2 3" xfId="343"/>
    <cellStyle name="Comma 2 14 3" xfId="344"/>
    <cellStyle name="Comma 2 14 3 2" xfId="345"/>
    <cellStyle name="Comma 2 14 4" xfId="346"/>
    <cellStyle name="Comma 2 15" xfId="347"/>
    <cellStyle name="Comma 2 15 2" xfId="348"/>
    <cellStyle name="Comma 2 15 2 2" xfId="349"/>
    <cellStyle name="Comma 2 15 3" xfId="350"/>
    <cellStyle name="Comma 2 16" xfId="351"/>
    <cellStyle name="Comma 2 16 2" xfId="352"/>
    <cellStyle name="Comma 2 16 2 2" xfId="353"/>
    <cellStyle name="Comma 2 16 3" xfId="354"/>
    <cellStyle name="Comma 2 17" xfId="355"/>
    <cellStyle name="Comma 2 17 2" xfId="356"/>
    <cellStyle name="Comma 2 18" xfId="357"/>
    <cellStyle name="Comma 2 18 2" xfId="35807"/>
    <cellStyle name="Comma 2 19" xfId="358"/>
    <cellStyle name="Comma 2 2" xfId="359"/>
    <cellStyle name="Comma 2 2 10" xfId="360"/>
    <cellStyle name="Comma 2 2 10 2" xfId="361"/>
    <cellStyle name="Comma 2 2 10 2 2" xfId="362"/>
    <cellStyle name="Comma 2 2 10 2 2 2" xfId="363"/>
    <cellStyle name="Comma 2 2 10 2 2 2 2" xfId="364"/>
    <cellStyle name="Comma 2 2 10 2 2 2 3" xfId="365"/>
    <cellStyle name="Comma 2 2 10 2 2 3" xfId="366"/>
    <cellStyle name="Comma 2 2 10 2 2 3 2" xfId="367"/>
    <cellStyle name="Comma 2 2 10 2 2 4" xfId="368"/>
    <cellStyle name="Comma 2 2 10 2 3" xfId="369"/>
    <cellStyle name="Comma 2 2 10 2 3 2" xfId="370"/>
    <cellStyle name="Comma 2 2 10 2 3 2 2" xfId="371"/>
    <cellStyle name="Comma 2 2 10 2 3 3" xfId="372"/>
    <cellStyle name="Comma 2 2 10 2 4" xfId="373"/>
    <cellStyle name="Comma 2 2 10 2 4 2" xfId="374"/>
    <cellStyle name="Comma 2 2 10 2 4 3" xfId="375"/>
    <cellStyle name="Comma 2 2 10 2 5" xfId="376"/>
    <cellStyle name="Comma 2 2 10 2 5 2" xfId="377"/>
    <cellStyle name="Comma 2 2 10 2 6" xfId="378"/>
    <cellStyle name="Comma 2 2 10 2 6 2" xfId="35808"/>
    <cellStyle name="Comma 2 2 10 2 7" xfId="379"/>
    <cellStyle name="Comma 2 2 10 3" xfId="380"/>
    <cellStyle name="Comma 2 2 10 3 2" xfId="381"/>
    <cellStyle name="Comma 2 2 10 3 2 2" xfId="382"/>
    <cellStyle name="Comma 2 2 10 3 2 2 2" xfId="383"/>
    <cellStyle name="Comma 2 2 10 3 2 3" xfId="384"/>
    <cellStyle name="Comma 2 2 10 3 3" xfId="385"/>
    <cellStyle name="Comma 2 2 10 3 3 2" xfId="386"/>
    <cellStyle name="Comma 2 2 10 3 4" xfId="387"/>
    <cellStyle name="Comma 2 2 10 4" xfId="388"/>
    <cellStyle name="Comma 2 2 10 4 2" xfId="389"/>
    <cellStyle name="Comma 2 2 10 4 2 2" xfId="390"/>
    <cellStyle name="Comma 2 2 10 4 3" xfId="391"/>
    <cellStyle name="Comma 2 2 10 5" xfId="392"/>
    <cellStyle name="Comma 2 2 10 5 2" xfId="393"/>
    <cellStyle name="Comma 2 2 10 5 2 2" xfId="394"/>
    <cellStyle name="Comma 2 2 10 5 3" xfId="395"/>
    <cellStyle name="Comma 2 2 10 6" xfId="396"/>
    <cellStyle name="Comma 2 2 10 6 2" xfId="397"/>
    <cellStyle name="Comma 2 2 10 7" xfId="398"/>
    <cellStyle name="Comma 2 2 10 7 2" xfId="35809"/>
    <cellStyle name="Comma 2 2 10 8" xfId="399"/>
    <cellStyle name="Comma 2 2 11" xfId="400"/>
    <cellStyle name="Comma 2 2 11 2" xfId="401"/>
    <cellStyle name="Comma 2 2 11 2 2" xfId="402"/>
    <cellStyle name="Comma 2 2 11 2 2 2" xfId="403"/>
    <cellStyle name="Comma 2 2 11 2 2 2 2" xfId="404"/>
    <cellStyle name="Comma 2 2 11 2 2 2 3" xfId="405"/>
    <cellStyle name="Comma 2 2 11 2 2 3" xfId="406"/>
    <cellStyle name="Comma 2 2 11 2 2 3 2" xfId="407"/>
    <cellStyle name="Comma 2 2 11 2 2 4" xfId="408"/>
    <cellStyle name="Comma 2 2 11 2 3" xfId="409"/>
    <cellStyle name="Comma 2 2 11 2 3 2" xfId="410"/>
    <cellStyle name="Comma 2 2 11 2 3 2 2" xfId="411"/>
    <cellStyle name="Comma 2 2 11 2 3 3" xfId="412"/>
    <cellStyle name="Comma 2 2 11 2 4" xfId="413"/>
    <cellStyle name="Comma 2 2 11 2 4 2" xfId="414"/>
    <cellStyle name="Comma 2 2 11 2 4 3" xfId="415"/>
    <cellStyle name="Comma 2 2 11 2 5" xfId="416"/>
    <cellStyle name="Comma 2 2 11 2 5 2" xfId="417"/>
    <cellStyle name="Comma 2 2 11 2 6" xfId="418"/>
    <cellStyle name="Comma 2 2 11 2 6 2" xfId="35810"/>
    <cellStyle name="Comma 2 2 11 2 7" xfId="419"/>
    <cellStyle name="Comma 2 2 11 3" xfId="420"/>
    <cellStyle name="Comma 2 2 11 3 2" xfId="421"/>
    <cellStyle name="Comma 2 2 11 3 2 2" xfId="422"/>
    <cellStyle name="Comma 2 2 11 3 2 2 2" xfId="423"/>
    <cellStyle name="Comma 2 2 11 3 2 3" xfId="424"/>
    <cellStyle name="Comma 2 2 11 3 3" xfId="425"/>
    <cellStyle name="Comma 2 2 11 3 3 2" xfId="426"/>
    <cellStyle name="Comma 2 2 11 3 4" xfId="427"/>
    <cellStyle name="Comma 2 2 11 4" xfId="428"/>
    <cellStyle name="Comma 2 2 11 4 2" xfId="429"/>
    <cellStyle name="Comma 2 2 11 4 2 2" xfId="430"/>
    <cellStyle name="Comma 2 2 11 4 3" xfId="431"/>
    <cellStyle name="Comma 2 2 11 5" xfId="432"/>
    <cellStyle name="Comma 2 2 11 5 2" xfId="433"/>
    <cellStyle name="Comma 2 2 11 5 2 2" xfId="434"/>
    <cellStyle name="Comma 2 2 11 5 3" xfId="435"/>
    <cellStyle name="Comma 2 2 11 6" xfId="436"/>
    <cellStyle name="Comma 2 2 11 6 2" xfId="437"/>
    <cellStyle name="Comma 2 2 11 7" xfId="438"/>
    <cellStyle name="Comma 2 2 11 7 2" xfId="35811"/>
    <cellStyle name="Comma 2 2 11 8" xfId="439"/>
    <cellStyle name="Comma 2 2 12" xfId="440"/>
    <cellStyle name="Comma 2 2 12 2" xfId="441"/>
    <cellStyle name="Comma 2 2 12 2 2" xfId="442"/>
    <cellStyle name="Comma 2 2 12 2 2 2" xfId="443"/>
    <cellStyle name="Comma 2 2 12 2 2 3" xfId="444"/>
    <cellStyle name="Comma 2 2 12 2 3" xfId="445"/>
    <cellStyle name="Comma 2 2 12 2 3 2" xfId="446"/>
    <cellStyle name="Comma 2 2 12 2 4" xfId="447"/>
    <cellStyle name="Comma 2 2 12 3" xfId="448"/>
    <cellStyle name="Comma 2 2 12 3 2" xfId="449"/>
    <cellStyle name="Comma 2 2 12 3 2 2" xfId="450"/>
    <cellStyle name="Comma 2 2 12 3 3" xfId="451"/>
    <cellStyle name="Comma 2 2 12 4" xfId="452"/>
    <cellStyle name="Comma 2 2 12 4 2" xfId="453"/>
    <cellStyle name="Comma 2 2 12 4 3" xfId="454"/>
    <cellStyle name="Comma 2 2 12 5" xfId="455"/>
    <cellStyle name="Comma 2 2 12 5 2" xfId="456"/>
    <cellStyle name="Comma 2 2 12 6" xfId="457"/>
    <cellStyle name="Comma 2 2 12 6 2" xfId="35812"/>
    <cellStyle name="Comma 2 2 12 7" xfId="458"/>
    <cellStyle name="Comma 2 2 13" xfId="459"/>
    <cellStyle name="Comma 2 2 13 2" xfId="460"/>
    <cellStyle name="Comma 2 2 13 2 2" xfId="461"/>
    <cellStyle name="Comma 2 2 13 2 2 2" xfId="462"/>
    <cellStyle name="Comma 2 2 13 2 3" xfId="463"/>
    <cellStyle name="Comma 2 2 13 3" xfId="464"/>
    <cellStyle name="Comma 2 2 13 3 2" xfId="465"/>
    <cellStyle name="Comma 2 2 13 4" xfId="466"/>
    <cellStyle name="Comma 2 2 14" xfId="467"/>
    <cellStyle name="Comma 2 2 14 2" xfId="468"/>
    <cellStyle name="Comma 2 2 14 2 2" xfId="469"/>
    <cellStyle name="Comma 2 2 14 3" xfId="470"/>
    <cellStyle name="Comma 2 2 15" xfId="471"/>
    <cellStyle name="Comma 2 2 15 2" xfId="472"/>
    <cellStyle name="Comma 2 2 15 2 2" xfId="473"/>
    <cellStyle name="Comma 2 2 15 3" xfId="474"/>
    <cellStyle name="Comma 2 2 16" xfId="475"/>
    <cellStyle name="Comma 2 2 16 2" xfId="476"/>
    <cellStyle name="Comma 2 2 17" xfId="477"/>
    <cellStyle name="Comma 2 2 17 2" xfId="35813"/>
    <cellStyle name="Comma 2 2 18" xfId="478"/>
    <cellStyle name="Comma 2 2 19" xfId="37839"/>
    <cellStyle name="Comma 2 2 2" xfId="479"/>
    <cellStyle name="Comma 2 2 2 10" xfId="480"/>
    <cellStyle name="Comma 2 2 2 10 2" xfId="481"/>
    <cellStyle name="Comma 2 2 2 10 2 2" xfId="482"/>
    <cellStyle name="Comma 2 2 2 10 3" xfId="483"/>
    <cellStyle name="Comma 2 2 2 11" xfId="484"/>
    <cellStyle name="Comma 2 2 2 11 2" xfId="485"/>
    <cellStyle name="Comma 2 2 2 11 2 2" xfId="486"/>
    <cellStyle name="Comma 2 2 2 11 3" xfId="487"/>
    <cellStyle name="Comma 2 2 2 12" xfId="488"/>
    <cellStyle name="Comma 2 2 2 12 2" xfId="489"/>
    <cellStyle name="Comma 2 2 2 13" xfId="490"/>
    <cellStyle name="Comma 2 2 2 13 2" xfId="35814"/>
    <cellStyle name="Comma 2 2 2 14" xfId="491"/>
    <cellStyle name="Comma 2 2 2 2" xfId="492"/>
    <cellStyle name="Comma 2 2 2 2 10" xfId="493"/>
    <cellStyle name="Comma 2 2 2 2 2" xfId="494"/>
    <cellStyle name="Comma 2 2 2 2 2 2" xfId="495"/>
    <cellStyle name="Comma 2 2 2 2 2 2 2" xfId="496"/>
    <cellStyle name="Comma 2 2 2 2 2 2 2 2" xfId="497"/>
    <cellStyle name="Comma 2 2 2 2 2 2 2 2 2" xfId="498"/>
    <cellStyle name="Comma 2 2 2 2 2 2 2 2 2 2" xfId="499"/>
    <cellStyle name="Comma 2 2 2 2 2 2 2 2 2 3" xfId="500"/>
    <cellStyle name="Comma 2 2 2 2 2 2 2 2 3" xfId="501"/>
    <cellStyle name="Comma 2 2 2 2 2 2 2 2 3 2" xfId="502"/>
    <cellStyle name="Comma 2 2 2 2 2 2 2 2 4" xfId="503"/>
    <cellStyle name="Comma 2 2 2 2 2 2 2 3" xfId="504"/>
    <cellStyle name="Comma 2 2 2 2 2 2 2 3 2" xfId="505"/>
    <cellStyle name="Comma 2 2 2 2 2 2 2 3 2 2" xfId="506"/>
    <cellStyle name="Comma 2 2 2 2 2 2 2 3 3" xfId="507"/>
    <cellStyle name="Comma 2 2 2 2 2 2 2 4" xfId="508"/>
    <cellStyle name="Comma 2 2 2 2 2 2 2 4 2" xfId="509"/>
    <cellStyle name="Comma 2 2 2 2 2 2 2 4 3" xfId="510"/>
    <cellStyle name="Comma 2 2 2 2 2 2 2 5" xfId="511"/>
    <cellStyle name="Comma 2 2 2 2 2 2 2 5 2" xfId="512"/>
    <cellStyle name="Comma 2 2 2 2 2 2 2 6" xfId="513"/>
    <cellStyle name="Comma 2 2 2 2 2 2 2 6 2" xfId="35815"/>
    <cellStyle name="Comma 2 2 2 2 2 2 2 7" xfId="514"/>
    <cellStyle name="Comma 2 2 2 2 2 2 3" xfId="515"/>
    <cellStyle name="Comma 2 2 2 2 2 2 3 2" xfId="516"/>
    <cellStyle name="Comma 2 2 2 2 2 2 3 2 2" xfId="517"/>
    <cellStyle name="Comma 2 2 2 2 2 2 3 2 2 2" xfId="518"/>
    <cellStyle name="Comma 2 2 2 2 2 2 3 2 3" xfId="519"/>
    <cellStyle name="Comma 2 2 2 2 2 2 3 3" xfId="520"/>
    <cellStyle name="Comma 2 2 2 2 2 2 3 3 2" xfId="521"/>
    <cellStyle name="Comma 2 2 2 2 2 2 3 4" xfId="522"/>
    <cellStyle name="Comma 2 2 2 2 2 2 4" xfId="523"/>
    <cellStyle name="Comma 2 2 2 2 2 2 4 2" xfId="524"/>
    <cellStyle name="Comma 2 2 2 2 2 2 4 2 2" xfId="525"/>
    <cellStyle name="Comma 2 2 2 2 2 2 4 3" xfId="526"/>
    <cellStyle name="Comma 2 2 2 2 2 2 5" xfId="527"/>
    <cellStyle name="Comma 2 2 2 2 2 2 5 2" xfId="528"/>
    <cellStyle name="Comma 2 2 2 2 2 2 5 2 2" xfId="529"/>
    <cellStyle name="Comma 2 2 2 2 2 2 5 3" xfId="530"/>
    <cellStyle name="Comma 2 2 2 2 2 2 6" xfId="531"/>
    <cellStyle name="Comma 2 2 2 2 2 2 6 2" xfId="532"/>
    <cellStyle name="Comma 2 2 2 2 2 2 7" xfId="533"/>
    <cellStyle name="Comma 2 2 2 2 2 2 7 2" xfId="35816"/>
    <cellStyle name="Comma 2 2 2 2 2 2 8" xfId="534"/>
    <cellStyle name="Comma 2 2 2 2 2 3" xfId="535"/>
    <cellStyle name="Comma 2 2 2 2 2 3 2" xfId="536"/>
    <cellStyle name="Comma 2 2 2 2 2 3 2 2" xfId="537"/>
    <cellStyle name="Comma 2 2 2 2 2 3 2 2 2" xfId="538"/>
    <cellStyle name="Comma 2 2 2 2 2 3 2 2 3" xfId="539"/>
    <cellStyle name="Comma 2 2 2 2 2 3 2 3" xfId="540"/>
    <cellStyle name="Comma 2 2 2 2 2 3 2 3 2" xfId="541"/>
    <cellStyle name="Comma 2 2 2 2 2 3 2 4" xfId="542"/>
    <cellStyle name="Comma 2 2 2 2 2 3 3" xfId="543"/>
    <cellStyle name="Comma 2 2 2 2 2 3 3 2" xfId="544"/>
    <cellStyle name="Comma 2 2 2 2 2 3 3 2 2" xfId="545"/>
    <cellStyle name="Comma 2 2 2 2 2 3 3 3" xfId="546"/>
    <cellStyle name="Comma 2 2 2 2 2 3 4" xfId="547"/>
    <cellStyle name="Comma 2 2 2 2 2 3 4 2" xfId="548"/>
    <cellStyle name="Comma 2 2 2 2 2 3 4 3" xfId="549"/>
    <cellStyle name="Comma 2 2 2 2 2 3 5" xfId="550"/>
    <cellStyle name="Comma 2 2 2 2 2 3 5 2" xfId="551"/>
    <cellStyle name="Comma 2 2 2 2 2 3 6" xfId="552"/>
    <cellStyle name="Comma 2 2 2 2 2 3 6 2" xfId="35817"/>
    <cellStyle name="Comma 2 2 2 2 2 3 7" xfId="553"/>
    <cellStyle name="Comma 2 2 2 2 2 4" xfId="554"/>
    <cellStyle name="Comma 2 2 2 2 2 4 2" xfId="555"/>
    <cellStyle name="Comma 2 2 2 2 2 4 2 2" xfId="556"/>
    <cellStyle name="Comma 2 2 2 2 2 4 2 2 2" xfId="557"/>
    <cellStyle name="Comma 2 2 2 2 2 4 2 3" xfId="558"/>
    <cellStyle name="Comma 2 2 2 2 2 4 3" xfId="559"/>
    <cellStyle name="Comma 2 2 2 2 2 4 3 2" xfId="560"/>
    <cellStyle name="Comma 2 2 2 2 2 4 4" xfId="561"/>
    <cellStyle name="Comma 2 2 2 2 2 5" xfId="562"/>
    <cellStyle name="Comma 2 2 2 2 2 5 2" xfId="563"/>
    <cellStyle name="Comma 2 2 2 2 2 5 2 2" xfId="564"/>
    <cellStyle name="Comma 2 2 2 2 2 5 3" xfId="565"/>
    <cellStyle name="Comma 2 2 2 2 2 6" xfId="566"/>
    <cellStyle name="Comma 2 2 2 2 2 6 2" xfId="567"/>
    <cellStyle name="Comma 2 2 2 2 2 6 2 2" xfId="568"/>
    <cellStyle name="Comma 2 2 2 2 2 6 3" xfId="569"/>
    <cellStyle name="Comma 2 2 2 2 2 7" xfId="570"/>
    <cellStyle name="Comma 2 2 2 2 2 7 2" xfId="571"/>
    <cellStyle name="Comma 2 2 2 2 2 8" xfId="572"/>
    <cellStyle name="Comma 2 2 2 2 2 8 2" xfId="35818"/>
    <cellStyle name="Comma 2 2 2 2 2 9" xfId="573"/>
    <cellStyle name="Comma 2 2 2 2 3" xfId="574"/>
    <cellStyle name="Comma 2 2 2 2 3 2" xfId="575"/>
    <cellStyle name="Comma 2 2 2 2 3 2 2" xfId="576"/>
    <cellStyle name="Comma 2 2 2 2 3 2 2 2" xfId="577"/>
    <cellStyle name="Comma 2 2 2 2 3 2 2 2 2" xfId="578"/>
    <cellStyle name="Comma 2 2 2 2 3 2 2 2 3" xfId="579"/>
    <cellStyle name="Comma 2 2 2 2 3 2 2 3" xfId="580"/>
    <cellStyle name="Comma 2 2 2 2 3 2 2 3 2" xfId="581"/>
    <cellStyle name="Comma 2 2 2 2 3 2 2 4" xfId="582"/>
    <cellStyle name="Comma 2 2 2 2 3 2 3" xfId="583"/>
    <cellStyle name="Comma 2 2 2 2 3 2 3 2" xfId="584"/>
    <cellStyle name="Comma 2 2 2 2 3 2 3 2 2" xfId="585"/>
    <cellStyle name="Comma 2 2 2 2 3 2 3 3" xfId="586"/>
    <cellStyle name="Comma 2 2 2 2 3 2 4" xfId="587"/>
    <cellStyle name="Comma 2 2 2 2 3 2 4 2" xfId="588"/>
    <cellStyle name="Comma 2 2 2 2 3 2 4 3" xfId="589"/>
    <cellStyle name="Comma 2 2 2 2 3 2 5" xfId="590"/>
    <cellStyle name="Comma 2 2 2 2 3 2 5 2" xfId="591"/>
    <cellStyle name="Comma 2 2 2 2 3 2 6" xfId="592"/>
    <cellStyle name="Comma 2 2 2 2 3 2 6 2" xfId="35819"/>
    <cellStyle name="Comma 2 2 2 2 3 2 7" xfId="593"/>
    <cellStyle name="Comma 2 2 2 2 3 3" xfId="594"/>
    <cellStyle name="Comma 2 2 2 2 3 3 2" xfId="595"/>
    <cellStyle name="Comma 2 2 2 2 3 3 2 2" xfId="596"/>
    <cellStyle name="Comma 2 2 2 2 3 3 2 2 2" xfId="597"/>
    <cellStyle name="Comma 2 2 2 2 3 3 2 3" xfId="598"/>
    <cellStyle name="Comma 2 2 2 2 3 3 3" xfId="599"/>
    <cellStyle name="Comma 2 2 2 2 3 3 3 2" xfId="600"/>
    <cellStyle name="Comma 2 2 2 2 3 3 4" xfId="601"/>
    <cellStyle name="Comma 2 2 2 2 3 4" xfId="602"/>
    <cellStyle name="Comma 2 2 2 2 3 4 2" xfId="603"/>
    <cellStyle name="Comma 2 2 2 2 3 4 2 2" xfId="604"/>
    <cellStyle name="Comma 2 2 2 2 3 4 3" xfId="605"/>
    <cellStyle name="Comma 2 2 2 2 3 5" xfId="606"/>
    <cellStyle name="Comma 2 2 2 2 3 5 2" xfId="607"/>
    <cellStyle name="Comma 2 2 2 2 3 5 2 2" xfId="608"/>
    <cellStyle name="Comma 2 2 2 2 3 5 3" xfId="609"/>
    <cellStyle name="Comma 2 2 2 2 3 6" xfId="610"/>
    <cellStyle name="Comma 2 2 2 2 3 6 2" xfId="611"/>
    <cellStyle name="Comma 2 2 2 2 3 7" xfId="612"/>
    <cellStyle name="Comma 2 2 2 2 3 7 2" xfId="35820"/>
    <cellStyle name="Comma 2 2 2 2 3 8" xfId="613"/>
    <cellStyle name="Comma 2 2 2 2 4" xfId="614"/>
    <cellStyle name="Comma 2 2 2 2 4 2" xfId="615"/>
    <cellStyle name="Comma 2 2 2 2 4 2 2" xfId="616"/>
    <cellStyle name="Comma 2 2 2 2 4 2 2 2" xfId="617"/>
    <cellStyle name="Comma 2 2 2 2 4 2 2 3" xfId="618"/>
    <cellStyle name="Comma 2 2 2 2 4 2 3" xfId="619"/>
    <cellStyle name="Comma 2 2 2 2 4 2 3 2" xfId="620"/>
    <cellStyle name="Comma 2 2 2 2 4 2 4" xfId="621"/>
    <cellStyle name="Comma 2 2 2 2 4 3" xfId="622"/>
    <cellStyle name="Comma 2 2 2 2 4 3 2" xfId="623"/>
    <cellStyle name="Comma 2 2 2 2 4 3 2 2" xfId="624"/>
    <cellStyle name="Comma 2 2 2 2 4 3 3" xfId="625"/>
    <cellStyle name="Comma 2 2 2 2 4 4" xfId="626"/>
    <cellStyle name="Comma 2 2 2 2 4 4 2" xfId="627"/>
    <cellStyle name="Comma 2 2 2 2 4 4 3" xfId="628"/>
    <cellStyle name="Comma 2 2 2 2 4 5" xfId="629"/>
    <cellStyle name="Comma 2 2 2 2 4 5 2" xfId="630"/>
    <cellStyle name="Comma 2 2 2 2 4 6" xfId="631"/>
    <cellStyle name="Comma 2 2 2 2 4 6 2" xfId="35821"/>
    <cellStyle name="Comma 2 2 2 2 4 7" xfId="632"/>
    <cellStyle name="Comma 2 2 2 2 5" xfId="633"/>
    <cellStyle name="Comma 2 2 2 2 5 2" xfId="634"/>
    <cellStyle name="Comma 2 2 2 2 5 2 2" xfId="635"/>
    <cellStyle name="Comma 2 2 2 2 5 2 2 2" xfId="636"/>
    <cellStyle name="Comma 2 2 2 2 5 2 3" xfId="637"/>
    <cellStyle name="Comma 2 2 2 2 5 3" xfId="638"/>
    <cellStyle name="Comma 2 2 2 2 5 3 2" xfId="639"/>
    <cellStyle name="Comma 2 2 2 2 5 4" xfId="640"/>
    <cellStyle name="Comma 2 2 2 2 6" xfId="641"/>
    <cellStyle name="Comma 2 2 2 2 6 2" xfId="642"/>
    <cellStyle name="Comma 2 2 2 2 6 2 2" xfId="643"/>
    <cellStyle name="Comma 2 2 2 2 6 3" xfId="644"/>
    <cellStyle name="Comma 2 2 2 2 7" xfId="645"/>
    <cellStyle name="Comma 2 2 2 2 7 2" xfId="646"/>
    <cellStyle name="Comma 2 2 2 2 7 2 2" xfId="647"/>
    <cellStyle name="Comma 2 2 2 2 7 3" xfId="648"/>
    <cellStyle name="Comma 2 2 2 2 8" xfId="649"/>
    <cellStyle name="Comma 2 2 2 2 8 2" xfId="650"/>
    <cellStyle name="Comma 2 2 2 2 9" xfId="651"/>
    <cellStyle name="Comma 2 2 2 2 9 2" xfId="35822"/>
    <cellStyle name="Comma 2 2 2 3" xfId="652"/>
    <cellStyle name="Comma 2 2 2 3 2" xfId="653"/>
    <cellStyle name="Comma 2 2 2 3 2 2" xfId="654"/>
    <cellStyle name="Comma 2 2 2 3 2 2 2" xfId="655"/>
    <cellStyle name="Comma 2 2 2 3 2 2 2 2" xfId="656"/>
    <cellStyle name="Comma 2 2 2 3 2 2 2 2 2" xfId="657"/>
    <cellStyle name="Comma 2 2 2 3 2 2 2 2 3" xfId="658"/>
    <cellStyle name="Comma 2 2 2 3 2 2 2 3" xfId="659"/>
    <cellStyle name="Comma 2 2 2 3 2 2 2 3 2" xfId="660"/>
    <cellStyle name="Comma 2 2 2 3 2 2 2 4" xfId="661"/>
    <cellStyle name="Comma 2 2 2 3 2 2 3" xfId="662"/>
    <cellStyle name="Comma 2 2 2 3 2 2 3 2" xfId="663"/>
    <cellStyle name="Comma 2 2 2 3 2 2 3 2 2" xfId="664"/>
    <cellStyle name="Comma 2 2 2 3 2 2 3 3" xfId="665"/>
    <cellStyle name="Comma 2 2 2 3 2 2 4" xfId="666"/>
    <cellStyle name="Comma 2 2 2 3 2 2 4 2" xfId="667"/>
    <cellStyle name="Comma 2 2 2 3 2 2 4 3" xfId="668"/>
    <cellStyle name="Comma 2 2 2 3 2 2 5" xfId="669"/>
    <cellStyle name="Comma 2 2 2 3 2 2 5 2" xfId="670"/>
    <cellStyle name="Comma 2 2 2 3 2 2 6" xfId="671"/>
    <cellStyle name="Comma 2 2 2 3 2 2 6 2" xfId="35823"/>
    <cellStyle name="Comma 2 2 2 3 2 2 7" xfId="672"/>
    <cellStyle name="Comma 2 2 2 3 2 3" xfId="673"/>
    <cellStyle name="Comma 2 2 2 3 2 3 2" xfId="674"/>
    <cellStyle name="Comma 2 2 2 3 2 3 2 2" xfId="675"/>
    <cellStyle name="Comma 2 2 2 3 2 3 2 2 2" xfId="676"/>
    <cellStyle name="Comma 2 2 2 3 2 3 2 3" xfId="677"/>
    <cellStyle name="Comma 2 2 2 3 2 3 3" xfId="678"/>
    <cellStyle name="Comma 2 2 2 3 2 3 3 2" xfId="679"/>
    <cellStyle name="Comma 2 2 2 3 2 3 4" xfId="680"/>
    <cellStyle name="Comma 2 2 2 3 2 4" xfId="681"/>
    <cellStyle name="Comma 2 2 2 3 2 4 2" xfId="682"/>
    <cellStyle name="Comma 2 2 2 3 2 4 2 2" xfId="683"/>
    <cellStyle name="Comma 2 2 2 3 2 4 3" xfId="684"/>
    <cellStyle name="Comma 2 2 2 3 2 5" xfId="685"/>
    <cellStyle name="Comma 2 2 2 3 2 5 2" xfId="686"/>
    <cellStyle name="Comma 2 2 2 3 2 5 2 2" xfId="687"/>
    <cellStyle name="Comma 2 2 2 3 2 5 3" xfId="688"/>
    <cellStyle name="Comma 2 2 2 3 2 6" xfId="689"/>
    <cellStyle name="Comma 2 2 2 3 2 6 2" xfId="690"/>
    <cellStyle name="Comma 2 2 2 3 2 7" xfId="691"/>
    <cellStyle name="Comma 2 2 2 3 2 7 2" xfId="35824"/>
    <cellStyle name="Comma 2 2 2 3 2 8" xfId="692"/>
    <cellStyle name="Comma 2 2 2 3 3" xfId="693"/>
    <cellStyle name="Comma 2 2 2 3 3 2" xfId="694"/>
    <cellStyle name="Comma 2 2 2 3 3 2 2" xfId="695"/>
    <cellStyle name="Comma 2 2 2 3 3 2 2 2" xfId="696"/>
    <cellStyle name="Comma 2 2 2 3 3 2 2 3" xfId="697"/>
    <cellStyle name="Comma 2 2 2 3 3 2 3" xfId="698"/>
    <cellStyle name="Comma 2 2 2 3 3 2 3 2" xfId="699"/>
    <cellStyle name="Comma 2 2 2 3 3 2 4" xfId="700"/>
    <cellStyle name="Comma 2 2 2 3 3 3" xfId="701"/>
    <cellStyle name="Comma 2 2 2 3 3 3 2" xfId="702"/>
    <cellStyle name="Comma 2 2 2 3 3 3 2 2" xfId="703"/>
    <cellStyle name="Comma 2 2 2 3 3 3 3" xfId="704"/>
    <cellStyle name="Comma 2 2 2 3 3 4" xfId="705"/>
    <cellStyle name="Comma 2 2 2 3 3 4 2" xfId="706"/>
    <cellStyle name="Comma 2 2 2 3 3 4 3" xfId="707"/>
    <cellStyle name="Comma 2 2 2 3 3 5" xfId="708"/>
    <cellStyle name="Comma 2 2 2 3 3 5 2" xfId="709"/>
    <cellStyle name="Comma 2 2 2 3 3 6" xfId="710"/>
    <cellStyle name="Comma 2 2 2 3 3 6 2" xfId="35825"/>
    <cellStyle name="Comma 2 2 2 3 3 7" xfId="711"/>
    <cellStyle name="Comma 2 2 2 3 4" xfId="712"/>
    <cellStyle name="Comma 2 2 2 3 4 2" xfId="713"/>
    <cellStyle name="Comma 2 2 2 3 4 2 2" xfId="714"/>
    <cellStyle name="Comma 2 2 2 3 4 2 2 2" xfId="715"/>
    <cellStyle name="Comma 2 2 2 3 4 2 3" xfId="716"/>
    <cellStyle name="Comma 2 2 2 3 4 3" xfId="717"/>
    <cellStyle name="Comma 2 2 2 3 4 3 2" xfId="718"/>
    <cellStyle name="Comma 2 2 2 3 4 4" xfId="719"/>
    <cellStyle name="Comma 2 2 2 3 5" xfId="720"/>
    <cellStyle name="Comma 2 2 2 3 5 2" xfId="721"/>
    <cellStyle name="Comma 2 2 2 3 5 2 2" xfId="722"/>
    <cellStyle name="Comma 2 2 2 3 5 3" xfId="723"/>
    <cellStyle name="Comma 2 2 2 3 6" xfId="724"/>
    <cellStyle name="Comma 2 2 2 3 6 2" xfId="725"/>
    <cellStyle name="Comma 2 2 2 3 6 2 2" xfId="726"/>
    <cellStyle name="Comma 2 2 2 3 6 3" xfId="727"/>
    <cellStyle name="Comma 2 2 2 3 7" xfId="728"/>
    <cellStyle name="Comma 2 2 2 3 7 2" xfId="729"/>
    <cellStyle name="Comma 2 2 2 3 8" xfId="730"/>
    <cellStyle name="Comma 2 2 2 3 8 2" xfId="35826"/>
    <cellStyle name="Comma 2 2 2 3 9" xfId="731"/>
    <cellStyle name="Comma 2 2 2 4" xfId="732"/>
    <cellStyle name="Comma 2 2 2 4 2" xfId="733"/>
    <cellStyle name="Comma 2 2 2 4 2 2" xfId="734"/>
    <cellStyle name="Comma 2 2 2 4 2 2 2" xfId="735"/>
    <cellStyle name="Comma 2 2 2 4 2 2 2 2" xfId="736"/>
    <cellStyle name="Comma 2 2 2 4 2 2 2 2 2" xfId="737"/>
    <cellStyle name="Comma 2 2 2 4 2 2 2 2 3" xfId="738"/>
    <cellStyle name="Comma 2 2 2 4 2 2 2 3" xfId="739"/>
    <cellStyle name="Comma 2 2 2 4 2 2 2 3 2" xfId="740"/>
    <cellStyle name="Comma 2 2 2 4 2 2 2 4" xfId="741"/>
    <cellStyle name="Comma 2 2 2 4 2 2 3" xfId="742"/>
    <cellStyle name="Comma 2 2 2 4 2 2 3 2" xfId="743"/>
    <cellStyle name="Comma 2 2 2 4 2 2 3 2 2" xfId="744"/>
    <cellStyle name="Comma 2 2 2 4 2 2 3 3" xfId="745"/>
    <cellStyle name="Comma 2 2 2 4 2 2 4" xfId="746"/>
    <cellStyle name="Comma 2 2 2 4 2 2 4 2" xfId="747"/>
    <cellStyle name="Comma 2 2 2 4 2 2 4 3" xfId="748"/>
    <cellStyle name="Comma 2 2 2 4 2 2 5" xfId="749"/>
    <cellStyle name="Comma 2 2 2 4 2 2 5 2" xfId="750"/>
    <cellStyle name="Comma 2 2 2 4 2 2 6" xfId="751"/>
    <cellStyle name="Comma 2 2 2 4 2 2 6 2" xfId="35827"/>
    <cellStyle name="Comma 2 2 2 4 2 2 7" xfId="752"/>
    <cellStyle name="Comma 2 2 2 4 2 3" xfId="753"/>
    <cellStyle name="Comma 2 2 2 4 2 3 2" xfId="754"/>
    <cellStyle name="Comma 2 2 2 4 2 3 2 2" xfId="755"/>
    <cellStyle name="Comma 2 2 2 4 2 3 2 2 2" xfId="756"/>
    <cellStyle name="Comma 2 2 2 4 2 3 2 3" xfId="757"/>
    <cellStyle name="Comma 2 2 2 4 2 3 3" xfId="758"/>
    <cellStyle name="Comma 2 2 2 4 2 3 3 2" xfId="759"/>
    <cellStyle name="Comma 2 2 2 4 2 3 4" xfId="760"/>
    <cellStyle name="Comma 2 2 2 4 2 4" xfId="761"/>
    <cellStyle name="Comma 2 2 2 4 2 4 2" xfId="762"/>
    <cellStyle name="Comma 2 2 2 4 2 4 2 2" xfId="763"/>
    <cellStyle name="Comma 2 2 2 4 2 4 3" xfId="764"/>
    <cellStyle name="Comma 2 2 2 4 2 5" xfId="765"/>
    <cellStyle name="Comma 2 2 2 4 2 5 2" xfId="766"/>
    <cellStyle name="Comma 2 2 2 4 2 5 2 2" xfId="767"/>
    <cellStyle name="Comma 2 2 2 4 2 5 3" xfId="768"/>
    <cellStyle name="Comma 2 2 2 4 2 6" xfId="769"/>
    <cellStyle name="Comma 2 2 2 4 2 6 2" xfId="770"/>
    <cellStyle name="Comma 2 2 2 4 2 7" xfId="771"/>
    <cellStyle name="Comma 2 2 2 4 2 7 2" xfId="35828"/>
    <cellStyle name="Comma 2 2 2 4 2 8" xfId="772"/>
    <cellStyle name="Comma 2 2 2 4 3" xfId="773"/>
    <cellStyle name="Comma 2 2 2 4 3 2" xfId="774"/>
    <cellStyle name="Comma 2 2 2 4 3 2 2" xfId="775"/>
    <cellStyle name="Comma 2 2 2 4 3 2 2 2" xfId="776"/>
    <cellStyle name="Comma 2 2 2 4 3 2 2 3" xfId="777"/>
    <cellStyle name="Comma 2 2 2 4 3 2 3" xfId="778"/>
    <cellStyle name="Comma 2 2 2 4 3 2 3 2" xfId="779"/>
    <cellStyle name="Comma 2 2 2 4 3 2 4" xfId="780"/>
    <cellStyle name="Comma 2 2 2 4 3 3" xfId="781"/>
    <cellStyle name="Comma 2 2 2 4 3 3 2" xfId="782"/>
    <cellStyle name="Comma 2 2 2 4 3 3 2 2" xfId="783"/>
    <cellStyle name="Comma 2 2 2 4 3 3 3" xfId="784"/>
    <cellStyle name="Comma 2 2 2 4 3 4" xfId="785"/>
    <cellStyle name="Comma 2 2 2 4 3 4 2" xfId="786"/>
    <cellStyle name="Comma 2 2 2 4 3 4 3" xfId="787"/>
    <cellStyle name="Comma 2 2 2 4 3 5" xfId="788"/>
    <cellStyle name="Comma 2 2 2 4 3 5 2" xfId="789"/>
    <cellStyle name="Comma 2 2 2 4 3 6" xfId="790"/>
    <cellStyle name="Comma 2 2 2 4 3 6 2" xfId="35829"/>
    <cellStyle name="Comma 2 2 2 4 3 7" xfId="791"/>
    <cellStyle name="Comma 2 2 2 4 4" xfId="792"/>
    <cellStyle name="Comma 2 2 2 4 4 2" xfId="793"/>
    <cellStyle name="Comma 2 2 2 4 4 2 2" xfId="794"/>
    <cellStyle name="Comma 2 2 2 4 4 2 2 2" xfId="795"/>
    <cellStyle name="Comma 2 2 2 4 4 2 3" xfId="796"/>
    <cellStyle name="Comma 2 2 2 4 4 3" xfId="797"/>
    <cellStyle name="Comma 2 2 2 4 4 3 2" xfId="798"/>
    <cellStyle name="Comma 2 2 2 4 4 4" xfId="799"/>
    <cellStyle name="Comma 2 2 2 4 5" xfId="800"/>
    <cellStyle name="Comma 2 2 2 4 5 2" xfId="801"/>
    <cellStyle name="Comma 2 2 2 4 5 2 2" xfId="802"/>
    <cellStyle name="Comma 2 2 2 4 5 3" xfId="803"/>
    <cellStyle name="Comma 2 2 2 4 6" xfId="804"/>
    <cellStyle name="Comma 2 2 2 4 6 2" xfId="805"/>
    <cellStyle name="Comma 2 2 2 4 6 2 2" xfId="806"/>
    <cellStyle name="Comma 2 2 2 4 6 3" xfId="807"/>
    <cellStyle name="Comma 2 2 2 4 7" xfId="808"/>
    <cellStyle name="Comma 2 2 2 4 7 2" xfId="809"/>
    <cellStyle name="Comma 2 2 2 4 8" xfId="810"/>
    <cellStyle name="Comma 2 2 2 4 8 2" xfId="35830"/>
    <cellStyle name="Comma 2 2 2 4 9" xfId="811"/>
    <cellStyle name="Comma 2 2 2 5" xfId="812"/>
    <cellStyle name="Comma 2 2 2 5 2" xfId="813"/>
    <cellStyle name="Comma 2 2 2 5 2 2" xfId="814"/>
    <cellStyle name="Comma 2 2 2 5 2 2 2" xfId="815"/>
    <cellStyle name="Comma 2 2 2 5 2 2 2 2" xfId="816"/>
    <cellStyle name="Comma 2 2 2 5 2 2 2 3" xfId="817"/>
    <cellStyle name="Comma 2 2 2 5 2 2 3" xfId="818"/>
    <cellStyle name="Comma 2 2 2 5 2 2 3 2" xfId="819"/>
    <cellStyle name="Comma 2 2 2 5 2 2 4" xfId="820"/>
    <cellStyle name="Comma 2 2 2 5 2 3" xfId="821"/>
    <cellStyle name="Comma 2 2 2 5 2 3 2" xfId="822"/>
    <cellStyle name="Comma 2 2 2 5 2 3 2 2" xfId="823"/>
    <cellStyle name="Comma 2 2 2 5 2 3 3" xfId="824"/>
    <cellStyle name="Comma 2 2 2 5 2 4" xfId="825"/>
    <cellStyle name="Comma 2 2 2 5 2 4 2" xfId="826"/>
    <cellStyle name="Comma 2 2 2 5 2 4 3" xfId="827"/>
    <cellStyle name="Comma 2 2 2 5 2 5" xfId="828"/>
    <cellStyle name="Comma 2 2 2 5 2 5 2" xfId="829"/>
    <cellStyle name="Comma 2 2 2 5 2 6" xfId="830"/>
    <cellStyle name="Comma 2 2 2 5 2 6 2" xfId="35831"/>
    <cellStyle name="Comma 2 2 2 5 2 7" xfId="831"/>
    <cellStyle name="Comma 2 2 2 5 3" xfId="832"/>
    <cellStyle name="Comma 2 2 2 5 3 2" xfId="833"/>
    <cellStyle name="Comma 2 2 2 5 3 2 2" xfId="834"/>
    <cellStyle name="Comma 2 2 2 5 3 2 2 2" xfId="835"/>
    <cellStyle name="Comma 2 2 2 5 3 2 3" xfId="836"/>
    <cellStyle name="Comma 2 2 2 5 3 3" xfId="837"/>
    <cellStyle name="Comma 2 2 2 5 3 3 2" xfId="838"/>
    <cellStyle name="Comma 2 2 2 5 3 4" xfId="839"/>
    <cellStyle name="Comma 2 2 2 5 4" xfId="840"/>
    <cellStyle name="Comma 2 2 2 5 4 2" xfId="841"/>
    <cellStyle name="Comma 2 2 2 5 4 2 2" xfId="842"/>
    <cellStyle name="Comma 2 2 2 5 4 3" xfId="843"/>
    <cellStyle name="Comma 2 2 2 5 5" xfId="844"/>
    <cellStyle name="Comma 2 2 2 5 5 2" xfId="845"/>
    <cellStyle name="Comma 2 2 2 5 5 2 2" xfId="846"/>
    <cellStyle name="Comma 2 2 2 5 5 3" xfId="847"/>
    <cellStyle name="Comma 2 2 2 5 6" xfId="848"/>
    <cellStyle name="Comma 2 2 2 5 6 2" xfId="849"/>
    <cellStyle name="Comma 2 2 2 5 7" xfId="850"/>
    <cellStyle name="Comma 2 2 2 5 7 2" xfId="35832"/>
    <cellStyle name="Comma 2 2 2 5 8" xfId="851"/>
    <cellStyle name="Comma 2 2 2 6" xfId="852"/>
    <cellStyle name="Comma 2 2 2 6 2" xfId="853"/>
    <cellStyle name="Comma 2 2 2 6 2 2" xfId="854"/>
    <cellStyle name="Comma 2 2 2 6 2 2 2" xfId="855"/>
    <cellStyle name="Comma 2 2 2 6 2 2 2 2" xfId="856"/>
    <cellStyle name="Comma 2 2 2 6 2 2 2 3" xfId="857"/>
    <cellStyle name="Comma 2 2 2 6 2 2 3" xfId="858"/>
    <cellStyle name="Comma 2 2 2 6 2 2 3 2" xfId="859"/>
    <cellStyle name="Comma 2 2 2 6 2 2 4" xfId="860"/>
    <cellStyle name="Comma 2 2 2 6 2 3" xfId="861"/>
    <cellStyle name="Comma 2 2 2 6 2 3 2" xfId="862"/>
    <cellStyle name="Comma 2 2 2 6 2 3 2 2" xfId="863"/>
    <cellStyle name="Comma 2 2 2 6 2 3 3" xfId="864"/>
    <cellStyle name="Comma 2 2 2 6 2 4" xfId="865"/>
    <cellStyle name="Comma 2 2 2 6 2 4 2" xfId="866"/>
    <cellStyle name="Comma 2 2 2 6 2 4 3" xfId="867"/>
    <cellStyle name="Comma 2 2 2 6 2 5" xfId="868"/>
    <cellStyle name="Comma 2 2 2 6 2 5 2" xfId="869"/>
    <cellStyle name="Comma 2 2 2 6 2 6" xfId="870"/>
    <cellStyle name="Comma 2 2 2 6 2 6 2" xfId="35833"/>
    <cellStyle name="Comma 2 2 2 6 2 7" xfId="871"/>
    <cellStyle name="Comma 2 2 2 6 3" xfId="872"/>
    <cellStyle name="Comma 2 2 2 6 3 2" xfId="873"/>
    <cellStyle name="Comma 2 2 2 6 3 2 2" xfId="874"/>
    <cellStyle name="Comma 2 2 2 6 3 2 2 2" xfId="875"/>
    <cellStyle name="Comma 2 2 2 6 3 2 3" xfId="876"/>
    <cellStyle name="Comma 2 2 2 6 3 3" xfId="877"/>
    <cellStyle name="Comma 2 2 2 6 3 3 2" xfId="878"/>
    <cellStyle name="Comma 2 2 2 6 3 4" xfId="879"/>
    <cellStyle name="Comma 2 2 2 6 4" xfId="880"/>
    <cellStyle name="Comma 2 2 2 6 4 2" xfId="881"/>
    <cellStyle name="Comma 2 2 2 6 4 2 2" xfId="882"/>
    <cellStyle name="Comma 2 2 2 6 4 3" xfId="883"/>
    <cellStyle name="Comma 2 2 2 6 5" xfId="884"/>
    <cellStyle name="Comma 2 2 2 6 5 2" xfId="885"/>
    <cellStyle name="Comma 2 2 2 6 5 2 2" xfId="886"/>
    <cellStyle name="Comma 2 2 2 6 5 3" xfId="887"/>
    <cellStyle name="Comma 2 2 2 6 6" xfId="888"/>
    <cellStyle name="Comma 2 2 2 6 6 2" xfId="889"/>
    <cellStyle name="Comma 2 2 2 6 7" xfId="890"/>
    <cellStyle name="Comma 2 2 2 6 7 2" xfId="35834"/>
    <cellStyle name="Comma 2 2 2 6 8" xfId="891"/>
    <cellStyle name="Comma 2 2 2 7" xfId="892"/>
    <cellStyle name="Comma 2 2 2 7 2" xfId="893"/>
    <cellStyle name="Comma 2 2 2 7 2 2" xfId="894"/>
    <cellStyle name="Comma 2 2 2 7 2 2 2" xfId="895"/>
    <cellStyle name="Comma 2 2 2 7 2 2 2 2" xfId="896"/>
    <cellStyle name="Comma 2 2 2 7 2 2 2 3" xfId="897"/>
    <cellStyle name="Comma 2 2 2 7 2 2 3" xfId="898"/>
    <cellStyle name="Comma 2 2 2 7 2 2 3 2" xfId="899"/>
    <cellStyle name="Comma 2 2 2 7 2 2 4" xfId="900"/>
    <cellStyle name="Comma 2 2 2 7 2 3" xfId="901"/>
    <cellStyle name="Comma 2 2 2 7 2 3 2" xfId="902"/>
    <cellStyle name="Comma 2 2 2 7 2 3 2 2" xfId="903"/>
    <cellStyle name="Comma 2 2 2 7 2 3 3" xfId="904"/>
    <cellStyle name="Comma 2 2 2 7 2 4" xfId="905"/>
    <cellStyle name="Comma 2 2 2 7 2 4 2" xfId="906"/>
    <cellStyle name="Comma 2 2 2 7 2 4 3" xfId="907"/>
    <cellStyle name="Comma 2 2 2 7 2 5" xfId="908"/>
    <cellStyle name="Comma 2 2 2 7 2 5 2" xfId="909"/>
    <cellStyle name="Comma 2 2 2 7 2 6" xfId="910"/>
    <cellStyle name="Comma 2 2 2 7 2 6 2" xfId="35835"/>
    <cellStyle name="Comma 2 2 2 7 2 7" xfId="911"/>
    <cellStyle name="Comma 2 2 2 7 3" xfId="912"/>
    <cellStyle name="Comma 2 2 2 7 3 2" xfId="913"/>
    <cellStyle name="Comma 2 2 2 7 3 2 2" xfId="914"/>
    <cellStyle name="Comma 2 2 2 7 3 2 2 2" xfId="915"/>
    <cellStyle name="Comma 2 2 2 7 3 2 3" xfId="916"/>
    <cellStyle name="Comma 2 2 2 7 3 3" xfId="917"/>
    <cellStyle name="Comma 2 2 2 7 3 3 2" xfId="918"/>
    <cellStyle name="Comma 2 2 2 7 3 4" xfId="919"/>
    <cellStyle name="Comma 2 2 2 7 4" xfId="920"/>
    <cellStyle name="Comma 2 2 2 7 4 2" xfId="921"/>
    <cellStyle name="Comma 2 2 2 7 4 2 2" xfId="922"/>
    <cellStyle name="Comma 2 2 2 7 4 3" xfId="923"/>
    <cellStyle name="Comma 2 2 2 7 5" xfId="924"/>
    <cellStyle name="Comma 2 2 2 7 5 2" xfId="925"/>
    <cellStyle name="Comma 2 2 2 7 5 2 2" xfId="926"/>
    <cellStyle name="Comma 2 2 2 7 5 3" xfId="927"/>
    <cellStyle name="Comma 2 2 2 7 6" xfId="928"/>
    <cellStyle name="Comma 2 2 2 7 6 2" xfId="929"/>
    <cellStyle name="Comma 2 2 2 7 7" xfId="930"/>
    <cellStyle name="Comma 2 2 2 7 7 2" xfId="35836"/>
    <cellStyle name="Comma 2 2 2 7 8" xfId="931"/>
    <cellStyle name="Comma 2 2 2 8" xfId="932"/>
    <cellStyle name="Comma 2 2 2 8 2" xfId="933"/>
    <cellStyle name="Comma 2 2 2 8 2 2" xfId="934"/>
    <cellStyle name="Comma 2 2 2 8 2 2 2" xfId="935"/>
    <cellStyle name="Comma 2 2 2 8 2 2 3" xfId="936"/>
    <cellStyle name="Comma 2 2 2 8 2 3" xfId="937"/>
    <cellStyle name="Comma 2 2 2 8 2 3 2" xfId="938"/>
    <cellStyle name="Comma 2 2 2 8 2 4" xfId="939"/>
    <cellStyle name="Comma 2 2 2 8 3" xfId="940"/>
    <cellStyle name="Comma 2 2 2 8 3 2" xfId="941"/>
    <cellStyle name="Comma 2 2 2 8 3 2 2" xfId="942"/>
    <cellStyle name="Comma 2 2 2 8 3 3" xfId="943"/>
    <cellStyle name="Comma 2 2 2 8 4" xfId="944"/>
    <cellStyle name="Comma 2 2 2 8 4 2" xfId="945"/>
    <cellStyle name="Comma 2 2 2 8 4 3" xfId="946"/>
    <cellStyle name="Comma 2 2 2 8 5" xfId="947"/>
    <cellStyle name="Comma 2 2 2 8 5 2" xfId="948"/>
    <cellStyle name="Comma 2 2 2 8 6" xfId="949"/>
    <cellStyle name="Comma 2 2 2 8 6 2" xfId="35837"/>
    <cellStyle name="Comma 2 2 2 8 7" xfId="950"/>
    <cellStyle name="Comma 2 2 2 9" xfId="951"/>
    <cellStyle name="Comma 2 2 2 9 2" xfId="952"/>
    <cellStyle name="Comma 2 2 2 9 2 2" xfId="953"/>
    <cellStyle name="Comma 2 2 2 9 2 2 2" xfId="954"/>
    <cellStyle name="Comma 2 2 2 9 2 3" xfId="955"/>
    <cellStyle name="Comma 2 2 2 9 3" xfId="956"/>
    <cellStyle name="Comma 2 2 2 9 3 2" xfId="957"/>
    <cellStyle name="Comma 2 2 2 9 4" xfId="958"/>
    <cellStyle name="Comma 2 2 3" xfId="959"/>
    <cellStyle name="Comma 2 2 3 10" xfId="960"/>
    <cellStyle name="Comma 2 2 3 10 2" xfId="961"/>
    <cellStyle name="Comma 2 2 3 10 2 2" xfId="962"/>
    <cellStyle name="Comma 2 2 3 10 3" xfId="963"/>
    <cellStyle name="Comma 2 2 3 11" xfId="964"/>
    <cellStyle name="Comma 2 2 3 11 2" xfId="965"/>
    <cellStyle name="Comma 2 2 3 11 2 2" xfId="966"/>
    <cellStyle name="Comma 2 2 3 11 3" xfId="967"/>
    <cellStyle name="Comma 2 2 3 12" xfId="968"/>
    <cellStyle name="Comma 2 2 3 12 2" xfId="969"/>
    <cellStyle name="Comma 2 2 3 13" xfId="970"/>
    <cellStyle name="Comma 2 2 3 13 2" xfId="35838"/>
    <cellStyle name="Comma 2 2 3 14" xfId="971"/>
    <cellStyle name="Comma 2 2 3 2" xfId="972"/>
    <cellStyle name="Comma 2 2 3 2 10" xfId="973"/>
    <cellStyle name="Comma 2 2 3 2 2" xfId="974"/>
    <cellStyle name="Comma 2 2 3 2 2 2" xfId="975"/>
    <cellStyle name="Comma 2 2 3 2 2 2 2" xfId="976"/>
    <cellStyle name="Comma 2 2 3 2 2 2 2 2" xfId="977"/>
    <cellStyle name="Comma 2 2 3 2 2 2 2 2 2" xfId="978"/>
    <cellStyle name="Comma 2 2 3 2 2 2 2 2 2 2" xfId="979"/>
    <cellStyle name="Comma 2 2 3 2 2 2 2 2 2 3" xfId="980"/>
    <cellStyle name="Comma 2 2 3 2 2 2 2 2 3" xfId="981"/>
    <cellStyle name="Comma 2 2 3 2 2 2 2 2 3 2" xfId="982"/>
    <cellStyle name="Comma 2 2 3 2 2 2 2 2 4" xfId="983"/>
    <cellStyle name="Comma 2 2 3 2 2 2 2 3" xfId="984"/>
    <cellStyle name="Comma 2 2 3 2 2 2 2 3 2" xfId="985"/>
    <cellStyle name="Comma 2 2 3 2 2 2 2 3 2 2" xfId="986"/>
    <cellStyle name="Comma 2 2 3 2 2 2 2 3 3" xfId="987"/>
    <cellStyle name="Comma 2 2 3 2 2 2 2 4" xfId="988"/>
    <cellStyle name="Comma 2 2 3 2 2 2 2 4 2" xfId="989"/>
    <cellStyle name="Comma 2 2 3 2 2 2 2 4 3" xfId="990"/>
    <cellStyle name="Comma 2 2 3 2 2 2 2 5" xfId="991"/>
    <cellStyle name="Comma 2 2 3 2 2 2 2 5 2" xfId="992"/>
    <cellStyle name="Comma 2 2 3 2 2 2 2 6" xfId="993"/>
    <cellStyle name="Comma 2 2 3 2 2 2 2 6 2" xfId="35839"/>
    <cellStyle name="Comma 2 2 3 2 2 2 2 7" xfId="994"/>
    <cellStyle name="Comma 2 2 3 2 2 2 3" xfId="995"/>
    <cellStyle name="Comma 2 2 3 2 2 2 3 2" xfId="996"/>
    <cellStyle name="Comma 2 2 3 2 2 2 3 2 2" xfId="997"/>
    <cellStyle name="Comma 2 2 3 2 2 2 3 2 2 2" xfId="998"/>
    <cellStyle name="Comma 2 2 3 2 2 2 3 2 3" xfId="999"/>
    <cellStyle name="Comma 2 2 3 2 2 2 3 3" xfId="1000"/>
    <cellStyle name="Comma 2 2 3 2 2 2 3 3 2" xfId="1001"/>
    <cellStyle name="Comma 2 2 3 2 2 2 3 4" xfId="1002"/>
    <cellStyle name="Comma 2 2 3 2 2 2 4" xfId="1003"/>
    <cellStyle name="Comma 2 2 3 2 2 2 4 2" xfId="1004"/>
    <cellStyle name="Comma 2 2 3 2 2 2 4 2 2" xfId="1005"/>
    <cellStyle name="Comma 2 2 3 2 2 2 4 3" xfId="1006"/>
    <cellStyle name="Comma 2 2 3 2 2 2 5" xfId="1007"/>
    <cellStyle name="Comma 2 2 3 2 2 2 5 2" xfId="1008"/>
    <cellStyle name="Comma 2 2 3 2 2 2 5 2 2" xfId="1009"/>
    <cellStyle name="Comma 2 2 3 2 2 2 5 3" xfId="1010"/>
    <cellStyle name="Comma 2 2 3 2 2 2 6" xfId="1011"/>
    <cellStyle name="Comma 2 2 3 2 2 2 6 2" xfId="1012"/>
    <cellStyle name="Comma 2 2 3 2 2 2 7" xfId="1013"/>
    <cellStyle name="Comma 2 2 3 2 2 2 7 2" xfId="35840"/>
    <cellStyle name="Comma 2 2 3 2 2 2 8" xfId="1014"/>
    <cellStyle name="Comma 2 2 3 2 2 3" xfId="1015"/>
    <cellStyle name="Comma 2 2 3 2 2 3 2" xfId="1016"/>
    <cellStyle name="Comma 2 2 3 2 2 3 2 2" xfId="1017"/>
    <cellStyle name="Comma 2 2 3 2 2 3 2 2 2" xfId="1018"/>
    <cellStyle name="Comma 2 2 3 2 2 3 2 2 3" xfId="1019"/>
    <cellStyle name="Comma 2 2 3 2 2 3 2 3" xfId="1020"/>
    <cellStyle name="Comma 2 2 3 2 2 3 2 3 2" xfId="1021"/>
    <cellStyle name="Comma 2 2 3 2 2 3 2 4" xfId="1022"/>
    <cellStyle name="Comma 2 2 3 2 2 3 3" xfId="1023"/>
    <cellStyle name="Comma 2 2 3 2 2 3 3 2" xfId="1024"/>
    <cellStyle name="Comma 2 2 3 2 2 3 3 2 2" xfId="1025"/>
    <cellStyle name="Comma 2 2 3 2 2 3 3 3" xfId="1026"/>
    <cellStyle name="Comma 2 2 3 2 2 3 4" xfId="1027"/>
    <cellStyle name="Comma 2 2 3 2 2 3 4 2" xfId="1028"/>
    <cellStyle name="Comma 2 2 3 2 2 3 4 3" xfId="1029"/>
    <cellStyle name="Comma 2 2 3 2 2 3 5" xfId="1030"/>
    <cellStyle name="Comma 2 2 3 2 2 3 5 2" xfId="1031"/>
    <cellStyle name="Comma 2 2 3 2 2 3 6" xfId="1032"/>
    <cellStyle name="Comma 2 2 3 2 2 3 6 2" xfId="35841"/>
    <cellStyle name="Comma 2 2 3 2 2 3 7" xfId="1033"/>
    <cellStyle name="Comma 2 2 3 2 2 4" xfId="1034"/>
    <cellStyle name="Comma 2 2 3 2 2 4 2" xfId="1035"/>
    <cellStyle name="Comma 2 2 3 2 2 4 2 2" xfId="1036"/>
    <cellStyle name="Comma 2 2 3 2 2 4 2 2 2" xfId="1037"/>
    <cellStyle name="Comma 2 2 3 2 2 4 2 3" xfId="1038"/>
    <cellStyle name="Comma 2 2 3 2 2 4 3" xfId="1039"/>
    <cellStyle name="Comma 2 2 3 2 2 4 3 2" xfId="1040"/>
    <cellStyle name="Comma 2 2 3 2 2 4 4" xfId="1041"/>
    <cellStyle name="Comma 2 2 3 2 2 5" xfId="1042"/>
    <cellStyle name="Comma 2 2 3 2 2 5 2" xfId="1043"/>
    <cellStyle name="Comma 2 2 3 2 2 5 2 2" xfId="1044"/>
    <cellStyle name="Comma 2 2 3 2 2 5 3" xfId="1045"/>
    <cellStyle name="Comma 2 2 3 2 2 6" xfId="1046"/>
    <cellStyle name="Comma 2 2 3 2 2 6 2" xfId="1047"/>
    <cellStyle name="Comma 2 2 3 2 2 6 2 2" xfId="1048"/>
    <cellStyle name="Comma 2 2 3 2 2 6 3" xfId="1049"/>
    <cellStyle name="Comma 2 2 3 2 2 7" xfId="1050"/>
    <cellStyle name="Comma 2 2 3 2 2 7 2" xfId="1051"/>
    <cellStyle name="Comma 2 2 3 2 2 8" xfId="1052"/>
    <cellStyle name="Comma 2 2 3 2 2 8 2" xfId="35842"/>
    <cellStyle name="Comma 2 2 3 2 2 9" xfId="1053"/>
    <cellStyle name="Comma 2 2 3 2 3" xfId="1054"/>
    <cellStyle name="Comma 2 2 3 2 3 2" xfId="1055"/>
    <cellStyle name="Comma 2 2 3 2 3 2 2" xfId="1056"/>
    <cellStyle name="Comma 2 2 3 2 3 2 2 2" xfId="1057"/>
    <cellStyle name="Comma 2 2 3 2 3 2 2 2 2" xfId="1058"/>
    <cellStyle name="Comma 2 2 3 2 3 2 2 2 3" xfId="1059"/>
    <cellStyle name="Comma 2 2 3 2 3 2 2 3" xfId="1060"/>
    <cellStyle name="Comma 2 2 3 2 3 2 2 3 2" xfId="1061"/>
    <cellStyle name="Comma 2 2 3 2 3 2 2 4" xfId="1062"/>
    <cellStyle name="Comma 2 2 3 2 3 2 3" xfId="1063"/>
    <cellStyle name="Comma 2 2 3 2 3 2 3 2" xfId="1064"/>
    <cellStyle name="Comma 2 2 3 2 3 2 3 2 2" xfId="1065"/>
    <cellStyle name="Comma 2 2 3 2 3 2 3 3" xfId="1066"/>
    <cellStyle name="Comma 2 2 3 2 3 2 4" xfId="1067"/>
    <cellStyle name="Comma 2 2 3 2 3 2 4 2" xfId="1068"/>
    <cellStyle name="Comma 2 2 3 2 3 2 4 3" xfId="1069"/>
    <cellStyle name="Comma 2 2 3 2 3 2 5" xfId="1070"/>
    <cellStyle name="Comma 2 2 3 2 3 2 5 2" xfId="1071"/>
    <cellStyle name="Comma 2 2 3 2 3 2 6" xfId="1072"/>
    <cellStyle name="Comma 2 2 3 2 3 2 6 2" xfId="35843"/>
    <cellStyle name="Comma 2 2 3 2 3 2 7" xfId="1073"/>
    <cellStyle name="Comma 2 2 3 2 3 3" xfId="1074"/>
    <cellStyle name="Comma 2 2 3 2 3 3 2" xfId="1075"/>
    <cellStyle name="Comma 2 2 3 2 3 3 2 2" xfId="1076"/>
    <cellStyle name="Comma 2 2 3 2 3 3 2 2 2" xfId="1077"/>
    <cellStyle name="Comma 2 2 3 2 3 3 2 3" xfId="1078"/>
    <cellStyle name="Comma 2 2 3 2 3 3 3" xfId="1079"/>
    <cellStyle name="Comma 2 2 3 2 3 3 3 2" xfId="1080"/>
    <cellStyle name="Comma 2 2 3 2 3 3 4" xfId="1081"/>
    <cellStyle name="Comma 2 2 3 2 3 4" xfId="1082"/>
    <cellStyle name="Comma 2 2 3 2 3 4 2" xfId="1083"/>
    <cellStyle name="Comma 2 2 3 2 3 4 2 2" xfId="1084"/>
    <cellStyle name="Comma 2 2 3 2 3 4 3" xfId="1085"/>
    <cellStyle name="Comma 2 2 3 2 3 5" xfId="1086"/>
    <cellStyle name="Comma 2 2 3 2 3 5 2" xfId="1087"/>
    <cellStyle name="Comma 2 2 3 2 3 5 2 2" xfId="1088"/>
    <cellStyle name="Comma 2 2 3 2 3 5 3" xfId="1089"/>
    <cellStyle name="Comma 2 2 3 2 3 6" xfId="1090"/>
    <cellStyle name="Comma 2 2 3 2 3 6 2" xfId="1091"/>
    <cellStyle name="Comma 2 2 3 2 3 7" xfId="1092"/>
    <cellStyle name="Comma 2 2 3 2 3 7 2" xfId="35844"/>
    <cellStyle name="Comma 2 2 3 2 3 8" xfId="1093"/>
    <cellStyle name="Comma 2 2 3 2 4" xfId="1094"/>
    <cellStyle name="Comma 2 2 3 2 4 2" xfId="1095"/>
    <cellStyle name="Comma 2 2 3 2 4 2 2" xfId="1096"/>
    <cellStyle name="Comma 2 2 3 2 4 2 2 2" xfId="1097"/>
    <cellStyle name="Comma 2 2 3 2 4 2 2 3" xfId="1098"/>
    <cellStyle name="Comma 2 2 3 2 4 2 3" xfId="1099"/>
    <cellStyle name="Comma 2 2 3 2 4 2 3 2" xfId="1100"/>
    <cellStyle name="Comma 2 2 3 2 4 2 4" xfId="1101"/>
    <cellStyle name="Comma 2 2 3 2 4 3" xfId="1102"/>
    <cellStyle name="Comma 2 2 3 2 4 3 2" xfId="1103"/>
    <cellStyle name="Comma 2 2 3 2 4 3 2 2" xfId="1104"/>
    <cellStyle name="Comma 2 2 3 2 4 3 3" xfId="1105"/>
    <cellStyle name="Comma 2 2 3 2 4 4" xfId="1106"/>
    <cellStyle name="Comma 2 2 3 2 4 4 2" xfId="1107"/>
    <cellStyle name="Comma 2 2 3 2 4 4 3" xfId="1108"/>
    <cellStyle name="Comma 2 2 3 2 4 5" xfId="1109"/>
    <cellStyle name="Comma 2 2 3 2 4 5 2" xfId="1110"/>
    <cellStyle name="Comma 2 2 3 2 4 6" xfId="1111"/>
    <cellStyle name="Comma 2 2 3 2 4 6 2" xfId="35845"/>
    <cellStyle name="Comma 2 2 3 2 4 7" xfId="1112"/>
    <cellStyle name="Comma 2 2 3 2 5" xfId="1113"/>
    <cellStyle name="Comma 2 2 3 2 5 2" xfId="1114"/>
    <cellStyle name="Comma 2 2 3 2 5 2 2" xfId="1115"/>
    <cellStyle name="Comma 2 2 3 2 5 2 2 2" xfId="1116"/>
    <cellStyle name="Comma 2 2 3 2 5 2 3" xfId="1117"/>
    <cellStyle name="Comma 2 2 3 2 5 3" xfId="1118"/>
    <cellStyle name="Comma 2 2 3 2 5 3 2" xfId="1119"/>
    <cellStyle name="Comma 2 2 3 2 5 4" xfId="1120"/>
    <cellStyle name="Comma 2 2 3 2 6" xfId="1121"/>
    <cellStyle name="Comma 2 2 3 2 6 2" xfId="1122"/>
    <cellStyle name="Comma 2 2 3 2 6 2 2" xfId="1123"/>
    <cellStyle name="Comma 2 2 3 2 6 3" xfId="1124"/>
    <cellStyle name="Comma 2 2 3 2 7" xfId="1125"/>
    <cellStyle name="Comma 2 2 3 2 7 2" xfId="1126"/>
    <cellStyle name="Comma 2 2 3 2 7 2 2" xfId="1127"/>
    <cellStyle name="Comma 2 2 3 2 7 3" xfId="1128"/>
    <cellStyle name="Comma 2 2 3 2 8" xfId="1129"/>
    <cellStyle name="Comma 2 2 3 2 8 2" xfId="1130"/>
    <cellStyle name="Comma 2 2 3 2 9" xfId="1131"/>
    <cellStyle name="Comma 2 2 3 2 9 2" xfId="35846"/>
    <cellStyle name="Comma 2 2 3 3" xfId="1132"/>
    <cellStyle name="Comma 2 2 3 3 2" xfId="1133"/>
    <cellStyle name="Comma 2 2 3 3 2 2" xfId="1134"/>
    <cellStyle name="Comma 2 2 3 3 2 2 2" xfId="1135"/>
    <cellStyle name="Comma 2 2 3 3 2 2 2 2" xfId="1136"/>
    <cellStyle name="Comma 2 2 3 3 2 2 2 2 2" xfId="1137"/>
    <cellStyle name="Comma 2 2 3 3 2 2 2 2 3" xfId="1138"/>
    <cellStyle name="Comma 2 2 3 3 2 2 2 3" xfId="1139"/>
    <cellStyle name="Comma 2 2 3 3 2 2 2 3 2" xfId="1140"/>
    <cellStyle name="Comma 2 2 3 3 2 2 2 4" xfId="1141"/>
    <cellStyle name="Comma 2 2 3 3 2 2 3" xfId="1142"/>
    <cellStyle name="Comma 2 2 3 3 2 2 3 2" xfId="1143"/>
    <cellStyle name="Comma 2 2 3 3 2 2 3 2 2" xfId="1144"/>
    <cellStyle name="Comma 2 2 3 3 2 2 3 3" xfId="1145"/>
    <cellStyle name="Comma 2 2 3 3 2 2 4" xfId="1146"/>
    <cellStyle name="Comma 2 2 3 3 2 2 4 2" xfId="1147"/>
    <cellStyle name="Comma 2 2 3 3 2 2 4 3" xfId="1148"/>
    <cellStyle name="Comma 2 2 3 3 2 2 5" xfId="1149"/>
    <cellStyle name="Comma 2 2 3 3 2 2 5 2" xfId="1150"/>
    <cellStyle name="Comma 2 2 3 3 2 2 6" xfId="1151"/>
    <cellStyle name="Comma 2 2 3 3 2 2 6 2" xfId="35847"/>
    <cellStyle name="Comma 2 2 3 3 2 2 7" xfId="1152"/>
    <cellStyle name="Comma 2 2 3 3 2 3" xfId="1153"/>
    <cellStyle name="Comma 2 2 3 3 2 3 2" xfId="1154"/>
    <cellStyle name="Comma 2 2 3 3 2 3 2 2" xfId="1155"/>
    <cellStyle name="Comma 2 2 3 3 2 3 2 2 2" xfId="1156"/>
    <cellStyle name="Comma 2 2 3 3 2 3 2 3" xfId="1157"/>
    <cellStyle name="Comma 2 2 3 3 2 3 3" xfId="1158"/>
    <cellStyle name="Comma 2 2 3 3 2 3 3 2" xfId="1159"/>
    <cellStyle name="Comma 2 2 3 3 2 3 4" xfId="1160"/>
    <cellStyle name="Comma 2 2 3 3 2 4" xfId="1161"/>
    <cellStyle name="Comma 2 2 3 3 2 4 2" xfId="1162"/>
    <cellStyle name="Comma 2 2 3 3 2 4 2 2" xfId="1163"/>
    <cellStyle name="Comma 2 2 3 3 2 4 3" xfId="1164"/>
    <cellStyle name="Comma 2 2 3 3 2 5" xfId="1165"/>
    <cellStyle name="Comma 2 2 3 3 2 5 2" xfId="1166"/>
    <cellStyle name="Comma 2 2 3 3 2 5 2 2" xfId="1167"/>
    <cellStyle name="Comma 2 2 3 3 2 5 3" xfId="1168"/>
    <cellStyle name="Comma 2 2 3 3 2 6" xfId="1169"/>
    <cellStyle name="Comma 2 2 3 3 2 6 2" xfId="1170"/>
    <cellStyle name="Comma 2 2 3 3 2 7" xfId="1171"/>
    <cellStyle name="Comma 2 2 3 3 2 7 2" xfId="35848"/>
    <cellStyle name="Comma 2 2 3 3 2 8" xfId="1172"/>
    <cellStyle name="Comma 2 2 3 3 3" xfId="1173"/>
    <cellStyle name="Comma 2 2 3 3 3 2" xfId="1174"/>
    <cellStyle name="Comma 2 2 3 3 3 2 2" xfId="1175"/>
    <cellStyle name="Comma 2 2 3 3 3 2 2 2" xfId="1176"/>
    <cellStyle name="Comma 2 2 3 3 3 2 2 3" xfId="1177"/>
    <cellStyle name="Comma 2 2 3 3 3 2 3" xfId="1178"/>
    <cellStyle name="Comma 2 2 3 3 3 2 3 2" xfId="1179"/>
    <cellStyle name="Comma 2 2 3 3 3 2 4" xfId="1180"/>
    <cellStyle name="Comma 2 2 3 3 3 3" xfId="1181"/>
    <cellStyle name="Comma 2 2 3 3 3 3 2" xfId="1182"/>
    <cellStyle name="Comma 2 2 3 3 3 3 2 2" xfId="1183"/>
    <cellStyle name="Comma 2 2 3 3 3 3 3" xfId="1184"/>
    <cellStyle name="Comma 2 2 3 3 3 4" xfId="1185"/>
    <cellStyle name="Comma 2 2 3 3 3 4 2" xfId="1186"/>
    <cellStyle name="Comma 2 2 3 3 3 4 3" xfId="1187"/>
    <cellStyle name="Comma 2 2 3 3 3 5" xfId="1188"/>
    <cellStyle name="Comma 2 2 3 3 3 5 2" xfId="1189"/>
    <cellStyle name="Comma 2 2 3 3 3 6" xfId="1190"/>
    <cellStyle name="Comma 2 2 3 3 3 6 2" xfId="35849"/>
    <cellStyle name="Comma 2 2 3 3 3 7" xfId="1191"/>
    <cellStyle name="Comma 2 2 3 3 4" xfId="1192"/>
    <cellStyle name="Comma 2 2 3 3 4 2" xfId="1193"/>
    <cellStyle name="Comma 2 2 3 3 4 2 2" xfId="1194"/>
    <cellStyle name="Comma 2 2 3 3 4 2 2 2" xfId="1195"/>
    <cellStyle name="Comma 2 2 3 3 4 2 3" xfId="1196"/>
    <cellStyle name="Comma 2 2 3 3 4 3" xfId="1197"/>
    <cellStyle name="Comma 2 2 3 3 4 3 2" xfId="1198"/>
    <cellStyle name="Comma 2 2 3 3 4 4" xfId="1199"/>
    <cellStyle name="Comma 2 2 3 3 5" xfId="1200"/>
    <cellStyle name="Comma 2 2 3 3 5 2" xfId="1201"/>
    <cellStyle name="Comma 2 2 3 3 5 2 2" xfId="1202"/>
    <cellStyle name="Comma 2 2 3 3 5 3" xfId="1203"/>
    <cellStyle name="Comma 2 2 3 3 6" xfId="1204"/>
    <cellStyle name="Comma 2 2 3 3 6 2" xfId="1205"/>
    <cellStyle name="Comma 2 2 3 3 6 2 2" xfId="1206"/>
    <cellStyle name="Comma 2 2 3 3 6 3" xfId="1207"/>
    <cellStyle name="Comma 2 2 3 3 7" xfId="1208"/>
    <cellStyle name="Comma 2 2 3 3 7 2" xfId="1209"/>
    <cellStyle name="Comma 2 2 3 3 8" xfId="1210"/>
    <cellStyle name="Comma 2 2 3 3 8 2" xfId="35850"/>
    <cellStyle name="Comma 2 2 3 3 9" xfId="1211"/>
    <cellStyle name="Comma 2 2 3 4" xfId="1212"/>
    <cellStyle name="Comma 2 2 3 4 2" xfId="1213"/>
    <cellStyle name="Comma 2 2 3 4 2 2" xfId="1214"/>
    <cellStyle name="Comma 2 2 3 4 2 2 2" xfId="1215"/>
    <cellStyle name="Comma 2 2 3 4 2 2 2 2" xfId="1216"/>
    <cellStyle name="Comma 2 2 3 4 2 2 2 2 2" xfId="1217"/>
    <cellStyle name="Comma 2 2 3 4 2 2 2 2 3" xfId="1218"/>
    <cellStyle name="Comma 2 2 3 4 2 2 2 3" xfId="1219"/>
    <cellStyle name="Comma 2 2 3 4 2 2 2 3 2" xfId="1220"/>
    <cellStyle name="Comma 2 2 3 4 2 2 2 4" xfId="1221"/>
    <cellStyle name="Comma 2 2 3 4 2 2 3" xfId="1222"/>
    <cellStyle name="Comma 2 2 3 4 2 2 3 2" xfId="1223"/>
    <cellStyle name="Comma 2 2 3 4 2 2 3 2 2" xfId="1224"/>
    <cellStyle name="Comma 2 2 3 4 2 2 3 3" xfId="1225"/>
    <cellStyle name="Comma 2 2 3 4 2 2 4" xfId="1226"/>
    <cellStyle name="Comma 2 2 3 4 2 2 4 2" xfId="1227"/>
    <cellStyle name="Comma 2 2 3 4 2 2 4 3" xfId="1228"/>
    <cellStyle name="Comma 2 2 3 4 2 2 5" xfId="1229"/>
    <cellStyle name="Comma 2 2 3 4 2 2 5 2" xfId="1230"/>
    <cellStyle name="Comma 2 2 3 4 2 2 6" xfId="1231"/>
    <cellStyle name="Comma 2 2 3 4 2 2 6 2" xfId="35851"/>
    <cellStyle name="Comma 2 2 3 4 2 2 7" xfId="1232"/>
    <cellStyle name="Comma 2 2 3 4 2 3" xfId="1233"/>
    <cellStyle name="Comma 2 2 3 4 2 3 2" xfId="1234"/>
    <cellStyle name="Comma 2 2 3 4 2 3 2 2" xfId="1235"/>
    <cellStyle name="Comma 2 2 3 4 2 3 2 2 2" xfId="1236"/>
    <cellStyle name="Comma 2 2 3 4 2 3 2 3" xfId="1237"/>
    <cellStyle name="Comma 2 2 3 4 2 3 3" xfId="1238"/>
    <cellStyle name="Comma 2 2 3 4 2 3 3 2" xfId="1239"/>
    <cellStyle name="Comma 2 2 3 4 2 3 4" xfId="1240"/>
    <cellStyle name="Comma 2 2 3 4 2 4" xfId="1241"/>
    <cellStyle name="Comma 2 2 3 4 2 4 2" xfId="1242"/>
    <cellStyle name="Comma 2 2 3 4 2 4 2 2" xfId="1243"/>
    <cellStyle name="Comma 2 2 3 4 2 4 3" xfId="1244"/>
    <cellStyle name="Comma 2 2 3 4 2 5" xfId="1245"/>
    <cellStyle name="Comma 2 2 3 4 2 5 2" xfId="1246"/>
    <cellStyle name="Comma 2 2 3 4 2 5 2 2" xfId="1247"/>
    <cellStyle name="Comma 2 2 3 4 2 5 3" xfId="1248"/>
    <cellStyle name="Comma 2 2 3 4 2 6" xfId="1249"/>
    <cellStyle name="Comma 2 2 3 4 2 6 2" xfId="1250"/>
    <cellStyle name="Comma 2 2 3 4 2 7" xfId="1251"/>
    <cellStyle name="Comma 2 2 3 4 2 7 2" xfId="35852"/>
    <cellStyle name="Comma 2 2 3 4 2 8" xfId="1252"/>
    <cellStyle name="Comma 2 2 3 4 3" xfId="1253"/>
    <cellStyle name="Comma 2 2 3 4 3 2" xfId="1254"/>
    <cellStyle name="Comma 2 2 3 4 3 2 2" xfId="1255"/>
    <cellStyle name="Comma 2 2 3 4 3 2 2 2" xfId="1256"/>
    <cellStyle name="Comma 2 2 3 4 3 2 2 3" xfId="1257"/>
    <cellStyle name="Comma 2 2 3 4 3 2 3" xfId="1258"/>
    <cellStyle name="Comma 2 2 3 4 3 2 3 2" xfId="1259"/>
    <cellStyle name="Comma 2 2 3 4 3 2 4" xfId="1260"/>
    <cellStyle name="Comma 2 2 3 4 3 3" xfId="1261"/>
    <cellStyle name="Comma 2 2 3 4 3 3 2" xfId="1262"/>
    <cellStyle name="Comma 2 2 3 4 3 3 2 2" xfId="1263"/>
    <cellStyle name="Comma 2 2 3 4 3 3 3" xfId="1264"/>
    <cellStyle name="Comma 2 2 3 4 3 4" xfId="1265"/>
    <cellStyle name="Comma 2 2 3 4 3 4 2" xfId="1266"/>
    <cellStyle name="Comma 2 2 3 4 3 4 3" xfId="1267"/>
    <cellStyle name="Comma 2 2 3 4 3 5" xfId="1268"/>
    <cellStyle name="Comma 2 2 3 4 3 5 2" xfId="1269"/>
    <cellStyle name="Comma 2 2 3 4 3 6" xfId="1270"/>
    <cellStyle name="Comma 2 2 3 4 3 6 2" xfId="35853"/>
    <cellStyle name="Comma 2 2 3 4 3 7" xfId="1271"/>
    <cellStyle name="Comma 2 2 3 4 4" xfId="1272"/>
    <cellStyle name="Comma 2 2 3 4 4 2" xfId="1273"/>
    <cellStyle name="Comma 2 2 3 4 4 2 2" xfId="1274"/>
    <cellStyle name="Comma 2 2 3 4 4 2 2 2" xfId="1275"/>
    <cellStyle name="Comma 2 2 3 4 4 2 3" xfId="1276"/>
    <cellStyle name="Comma 2 2 3 4 4 3" xfId="1277"/>
    <cellStyle name="Comma 2 2 3 4 4 3 2" xfId="1278"/>
    <cellStyle name="Comma 2 2 3 4 4 4" xfId="1279"/>
    <cellStyle name="Comma 2 2 3 4 5" xfId="1280"/>
    <cellStyle name="Comma 2 2 3 4 5 2" xfId="1281"/>
    <cellStyle name="Comma 2 2 3 4 5 2 2" xfId="1282"/>
    <cellStyle name="Comma 2 2 3 4 5 3" xfId="1283"/>
    <cellStyle name="Comma 2 2 3 4 6" xfId="1284"/>
    <cellStyle name="Comma 2 2 3 4 6 2" xfId="1285"/>
    <cellStyle name="Comma 2 2 3 4 6 2 2" xfId="1286"/>
    <cellStyle name="Comma 2 2 3 4 6 3" xfId="1287"/>
    <cellStyle name="Comma 2 2 3 4 7" xfId="1288"/>
    <cellStyle name="Comma 2 2 3 4 7 2" xfId="1289"/>
    <cellStyle name="Comma 2 2 3 4 8" xfId="1290"/>
    <cellStyle name="Comma 2 2 3 4 8 2" xfId="35854"/>
    <cellStyle name="Comma 2 2 3 4 9" xfId="1291"/>
    <cellStyle name="Comma 2 2 3 5" xfId="1292"/>
    <cellStyle name="Comma 2 2 3 5 2" xfId="1293"/>
    <cellStyle name="Comma 2 2 3 5 2 2" xfId="1294"/>
    <cellStyle name="Comma 2 2 3 5 2 2 2" xfId="1295"/>
    <cellStyle name="Comma 2 2 3 5 2 2 2 2" xfId="1296"/>
    <cellStyle name="Comma 2 2 3 5 2 2 2 3" xfId="1297"/>
    <cellStyle name="Comma 2 2 3 5 2 2 3" xfId="1298"/>
    <cellStyle name="Comma 2 2 3 5 2 2 3 2" xfId="1299"/>
    <cellStyle name="Comma 2 2 3 5 2 2 4" xfId="1300"/>
    <cellStyle name="Comma 2 2 3 5 2 3" xfId="1301"/>
    <cellStyle name="Comma 2 2 3 5 2 3 2" xfId="1302"/>
    <cellStyle name="Comma 2 2 3 5 2 3 2 2" xfId="1303"/>
    <cellStyle name="Comma 2 2 3 5 2 3 3" xfId="1304"/>
    <cellStyle name="Comma 2 2 3 5 2 4" xfId="1305"/>
    <cellStyle name="Comma 2 2 3 5 2 4 2" xfId="1306"/>
    <cellStyle name="Comma 2 2 3 5 2 4 3" xfId="1307"/>
    <cellStyle name="Comma 2 2 3 5 2 5" xfId="1308"/>
    <cellStyle name="Comma 2 2 3 5 2 5 2" xfId="1309"/>
    <cellStyle name="Comma 2 2 3 5 2 6" xfId="1310"/>
    <cellStyle name="Comma 2 2 3 5 2 6 2" xfId="35855"/>
    <cellStyle name="Comma 2 2 3 5 2 7" xfId="1311"/>
    <cellStyle name="Comma 2 2 3 5 3" xfId="1312"/>
    <cellStyle name="Comma 2 2 3 5 3 2" xfId="1313"/>
    <cellStyle name="Comma 2 2 3 5 3 2 2" xfId="1314"/>
    <cellStyle name="Comma 2 2 3 5 3 2 2 2" xfId="1315"/>
    <cellStyle name="Comma 2 2 3 5 3 2 3" xfId="1316"/>
    <cellStyle name="Comma 2 2 3 5 3 3" xfId="1317"/>
    <cellStyle name="Comma 2 2 3 5 3 3 2" xfId="1318"/>
    <cellStyle name="Comma 2 2 3 5 3 4" xfId="1319"/>
    <cellStyle name="Comma 2 2 3 5 4" xfId="1320"/>
    <cellStyle name="Comma 2 2 3 5 4 2" xfId="1321"/>
    <cellStyle name="Comma 2 2 3 5 4 2 2" xfId="1322"/>
    <cellStyle name="Comma 2 2 3 5 4 3" xfId="1323"/>
    <cellStyle name="Comma 2 2 3 5 5" xfId="1324"/>
    <cellStyle name="Comma 2 2 3 5 5 2" xfId="1325"/>
    <cellStyle name="Comma 2 2 3 5 5 2 2" xfId="1326"/>
    <cellStyle name="Comma 2 2 3 5 5 3" xfId="1327"/>
    <cellStyle name="Comma 2 2 3 5 6" xfId="1328"/>
    <cellStyle name="Comma 2 2 3 5 6 2" xfId="1329"/>
    <cellStyle name="Comma 2 2 3 5 7" xfId="1330"/>
    <cellStyle name="Comma 2 2 3 5 7 2" xfId="35856"/>
    <cellStyle name="Comma 2 2 3 5 8" xfId="1331"/>
    <cellStyle name="Comma 2 2 3 6" xfId="1332"/>
    <cellStyle name="Comma 2 2 3 6 2" xfId="1333"/>
    <cellStyle name="Comma 2 2 3 6 2 2" xfId="1334"/>
    <cellStyle name="Comma 2 2 3 6 2 2 2" xfId="1335"/>
    <cellStyle name="Comma 2 2 3 6 2 2 2 2" xfId="1336"/>
    <cellStyle name="Comma 2 2 3 6 2 2 2 3" xfId="1337"/>
    <cellStyle name="Comma 2 2 3 6 2 2 3" xfId="1338"/>
    <cellStyle name="Comma 2 2 3 6 2 2 3 2" xfId="1339"/>
    <cellStyle name="Comma 2 2 3 6 2 2 4" xfId="1340"/>
    <cellStyle name="Comma 2 2 3 6 2 3" xfId="1341"/>
    <cellStyle name="Comma 2 2 3 6 2 3 2" xfId="1342"/>
    <cellStyle name="Comma 2 2 3 6 2 3 2 2" xfId="1343"/>
    <cellStyle name="Comma 2 2 3 6 2 3 3" xfId="1344"/>
    <cellStyle name="Comma 2 2 3 6 2 4" xfId="1345"/>
    <cellStyle name="Comma 2 2 3 6 2 4 2" xfId="1346"/>
    <cellStyle name="Comma 2 2 3 6 2 4 3" xfId="1347"/>
    <cellStyle name="Comma 2 2 3 6 2 5" xfId="1348"/>
    <cellStyle name="Comma 2 2 3 6 2 5 2" xfId="1349"/>
    <cellStyle name="Comma 2 2 3 6 2 6" xfId="1350"/>
    <cellStyle name="Comma 2 2 3 6 2 6 2" xfId="35857"/>
    <cellStyle name="Comma 2 2 3 6 2 7" xfId="1351"/>
    <cellStyle name="Comma 2 2 3 6 3" xfId="1352"/>
    <cellStyle name="Comma 2 2 3 6 3 2" xfId="1353"/>
    <cellStyle name="Comma 2 2 3 6 3 2 2" xfId="1354"/>
    <cellStyle name="Comma 2 2 3 6 3 2 2 2" xfId="1355"/>
    <cellStyle name="Comma 2 2 3 6 3 2 3" xfId="1356"/>
    <cellStyle name="Comma 2 2 3 6 3 3" xfId="1357"/>
    <cellStyle name="Comma 2 2 3 6 3 3 2" xfId="1358"/>
    <cellStyle name="Comma 2 2 3 6 3 4" xfId="1359"/>
    <cellStyle name="Comma 2 2 3 6 4" xfId="1360"/>
    <cellStyle name="Comma 2 2 3 6 4 2" xfId="1361"/>
    <cellStyle name="Comma 2 2 3 6 4 2 2" xfId="1362"/>
    <cellStyle name="Comma 2 2 3 6 4 3" xfId="1363"/>
    <cellStyle name="Comma 2 2 3 6 5" xfId="1364"/>
    <cellStyle name="Comma 2 2 3 6 5 2" xfId="1365"/>
    <cellStyle name="Comma 2 2 3 6 5 2 2" xfId="1366"/>
    <cellStyle name="Comma 2 2 3 6 5 3" xfId="1367"/>
    <cellStyle name="Comma 2 2 3 6 6" xfId="1368"/>
    <cellStyle name="Comma 2 2 3 6 6 2" xfId="1369"/>
    <cellStyle name="Comma 2 2 3 6 7" xfId="1370"/>
    <cellStyle name="Comma 2 2 3 6 7 2" xfId="35858"/>
    <cellStyle name="Comma 2 2 3 6 8" xfId="1371"/>
    <cellStyle name="Comma 2 2 3 7" xfId="1372"/>
    <cellStyle name="Comma 2 2 3 7 2" xfId="1373"/>
    <cellStyle name="Comma 2 2 3 7 2 2" xfId="1374"/>
    <cellStyle name="Comma 2 2 3 7 2 2 2" xfId="1375"/>
    <cellStyle name="Comma 2 2 3 7 2 2 2 2" xfId="1376"/>
    <cellStyle name="Comma 2 2 3 7 2 2 2 3" xfId="1377"/>
    <cellStyle name="Comma 2 2 3 7 2 2 3" xfId="1378"/>
    <cellStyle name="Comma 2 2 3 7 2 2 3 2" xfId="1379"/>
    <cellStyle name="Comma 2 2 3 7 2 2 4" xfId="1380"/>
    <cellStyle name="Comma 2 2 3 7 2 3" xfId="1381"/>
    <cellStyle name="Comma 2 2 3 7 2 3 2" xfId="1382"/>
    <cellStyle name="Comma 2 2 3 7 2 3 2 2" xfId="1383"/>
    <cellStyle name="Comma 2 2 3 7 2 3 3" xfId="1384"/>
    <cellStyle name="Comma 2 2 3 7 2 4" xfId="1385"/>
    <cellStyle name="Comma 2 2 3 7 2 4 2" xfId="1386"/>
    <cellStyle name="Comma 2 2 3 7 2 4 3" xfId="1387"/>
    <cellStyle name="Comma 2 2 3 7 2 5" xfId="1388"/>
    <cellStyle name="Comma 2 2 3 7 2 5 2" xfId="1389"/>
    <cellStyle name="Comma 2 2 3 7 2 6" xfId="1390"/>
    <cellStyle name="Comma 2 2 3 7 2 6 2" xfId="35859"/>
    <cellStyle name="Comma 2 2 3 7 2 7" xfId="1391"/>
    <cellStyle name="Comma 2 2 3 7 3" xfId="1392"/>
    <cellStyle name="Comma 2 2 3 7 3 2" xfId="1393"/>
    <cellStyle name="Comma 2 2 3 7 3 2 2" xfId="1394"/>
    <cellStyle name="Comma 2 2 3 7 3 2 2 2" xfId="1395"/>
    <cellStyle name="Comma 2 2 3 7 3 2 3" xfId="1396"/>
    <cellStyle name="Comma 2 2 3 7 3 3" xfId="1397"/>
    <cellStyle name="Comma 2 2 3 7 3 3 2" xfId="1398"/>
    <cellStyle name="Comma 2 2 3 7 3 4" xfId="1399"/>
    <cellStyle name="Comma 2 2 3 7 4" xfId="1400"/>
    <cellStyle name="Comma 2 2 3 7 4 2" xfId="1401"/>
    <cellStyle name="Comma 2 2 3 7 4 2 2" xfId="1402"/>
    <cellStyle name="Comma 2 2 3 7 4 3" xfId="1403"/>
    <cellStyle name="Comma 2 2 3 7 5" xfId="1404"/>
    <cellStyle name="Comma 2 2 3 7 5 2" xfId="1405"/>
    <cellStyle name="Comma 2 2 3 7 5 2 2" xfId="1406"/>
    <cellStyle name="Comma 2 2 3 7 5 3" xfId="1407"/>
    <cellStyle name="Comma 2 2 3 7 6" xfId="1408"/>
    <cellStyle name="Comma 2 2 3 7 6 2" xfId="1409"/>
    <cellStyle name="Comma 2 2 3 7 7" xfId="1410"/>
    <cellStyle name="Comma 2 2 3 7 7 2" xfId="35860"/>
    <cellStyle name="Comma 2 2 3 7 8" xfId="1411"/>
    <cellStyle name="Comma 2 2 3 8" xfId="1412"/>
    <cellStyle name="Comma 2 2 3 8 2" xfId="1413"/>
    <cellStyle name="Comma 2 2 3 8 2 2" xfId="1414"/>
    <cellStyle name="Comma 2 2 3 8 2 2 2" xfId="1415"/>
    <cellStyle name="Comma 2 2 3 8 2 2 3" xfId="1416"/>
    <cellStyle name="Comma 2 2 3 8 2 3" xfId="1417"/>
    <cellStyle name="Comma 2 2 3 8 2 3 2" xfId="1418"/>
    <cellStyle name="Comma 2 2 3 8 2 4" xfId="1419"/>
    <cellStyle name="Comma 2 2 3 8 3" xfId="1420"/>
    <cellStyle name="Comma 2 2 3 8 3 2" xfId="1421"/>
    <cellStyle name="Comma 2 2 3 8 3 2 2" xfId="1422"/>
    <cellStyle name="Comma 2 2 3 8 3 3" xfId="1423"/>
    <cellStyle name="Comma 2 2 3 8 4" xfId="1424"/>
    <cellStyle name="Comma 2 2 3 8 4 2" xfId="1425"/>
    <cellStyle name="Comma 2 2 3 8 4 3" xfId="1426"/>
    <cellStyle name="Comma 2 2 3 8 5" xfId="1427"/>
    <cellStyle name="Comma 2 2 3 8 5 2" xfId="1428"/>
    <cellStyle name="Comma 2 2 3 8 6" xfId="1429"/>
    <cellStyle name="Comma 2 2 3 8 6 2" xfId="35861"/>
    <cellStyle name="Comma 2 2 3 8 7" xfId="1430"/>
    <cellStyle name="Comma 2 2 3 9" xfId="1431"/>
    <cellStyle name="Comma 2 2 3 9 2" xfId="1432"/>
    <cellStyle name="Comma 2 2 3 9 2 2" xfId="1433"/>
    <cellStyle name="Comma 2 2 3 9 2 2 2" xfId="1434"/>
    <cellStyle name="Comma 2 2 3 9 2 3" xfId="1435"/>
    <cellStyle name="Comma 2 2 3 9 3" xfId="1436"/>
    <cellStyle name="Comma 2 2 3 9 3 2" xfId="1437"/>
    <cellStyle name="Comma 2 2 3 9 4" xfId="1438"/>
    <cellStyle name="Comma 2 2 4" xfId="1439"/>
    <cellStyle name="Comma 2 2 4 10" xfId="1440"/>
    <cellStyle name="Comma 2 2 4 10 2" xfId="1441"/>
    <cellStyle name="Comma 2 2 4 11" xfId="1442"/>
    <cellStyle name="Comma 2 2 4 11 2" xfId="35862"/>
    <cellStyle name="Comma 2 2 4 12" xfId="1443"/>
    <cellStyle name="Comma 2 2 4 2" xfId="1444"/>
    <cellStyle name="Comma 2 2 4 2 10" xfId="1445"/>
    <cellStyle name="Comma 2 2 4 2 2" xfId="1446"/>
    <cellStyle name="Comma 2 2 4 2 2 2" xfId="1447"/>
    <cellStyle name="Comma 2 2 4 2 2 2 2" xfId="1448"/>
    <cellStyle name="Comma 2 2 4 2 2 2 2 2" xfId="1449"/>
    <cellStyle name="Comma 2 2 4 2 2 2 2 2 2" xfId="1450"/>
    <cellStyle name="Comma 2 2 4 2 2 2 2 2 2 2" xfId="1451"/>
    <cellStyle name="Comma 2 2 4 2 2 2 2 2 2 3" xfId="1452"/>
    <cellStyle name="Comma 2 2 4 2 2 2 2 2 3" xfId="1453"/>
    <cellStyle name="Comma 2 2 4 2 2 2 2 2 3 2" xfId="1454"/>
    <cellStyle name="Comma 2 2 4 2 2 2 2 2 4" xfId="1455"/>
    <cellStyle name="Comma 2 2 4 2 2 2 2 3" xfId="1456"/>
    <cellStyle name="Comma 2 2 4 2 2 2 2 3 2" xfId="1457"/>
    <cellStyle name="Comma 2 2 4 2 2 2 2 3 2 2" xfId="1458"/>
    <cellStyle name="Comma 2 2 4 2 2 2 2 3 3" xfId="1459"/>
    <cellStyle name="Comma 2 2 4 2 2 2 2 4" xfId="1460"/>
    <cellStyle name="Comma 2 2 4 2 2 2 2 4 2" xfId="1461"/>
    <cellStyle name="Comma 2 2 4 2 2 2 2 4 3" xfId="1462"/>
    <cellStyle name="Comma 2 2 4 2 2 2 2 5" xfId="1463"/>
    <cellStyle name="Comma 2 2 4 2 2 2 2 5 2" xfId="1464"/>
    <cellStyle name="Comma 2 2 4 2 2 2 2 6" xfId="1465"/>
    <cellStyle name="Comma 2 2 4 2 2 2 2 6 2" xfId="35863"/>
    <cellStyle name="Comma 2 2 4 2 2 2 2 7" xfId="1466"/>
    <cellStyle name="Comma 2 2 4 2 2 2 3" xfId="1467"/>
    <cellStyle name="Comma 2 2 4 2 2 2 3 2" xfId="1468"/>
    <cellStyle name="Comma 2 2 4 2 2 2 3 2 2" xfId="1469"/>
    <cellStyle name="Comma 2 2 4 2 2 2 3 2 2 2" xfId="1470"/>
    <cellStyle name="Comma 2 2 4 2 2 2 3 2 3" xfId="1471"/>
    <cellStyle name="Comma 2 2 4 2 2 2 3 3" xfId="1472"/>
    <cellStyle name="Comma 2 2 4 2 2 2 3 3 2" xfId="1473"/>
    <cellStyle name="Comma 2 2 4 2 2 2 3 4" xfId="1474"/>
    <cellStyle name="Comma 2 2 4 2 2 2 4" xfId="1475"/>
    <cellStyle name="Comma 2 2 4 2 2 2 4 2" xfId="1476"/>
    <cellStyle name="Comma 2 2 4 2 2 2 4 2 2" xfId="1477"/>
    <cellStyle name="Comma 2 2 4 2 2 2 4 3" xfId="1478"/>
    <cellStyle name="Comma 2 2 4 2 2 2 5" xfId="1479"/>
    <cellStyle name="Comma 2 2 4 2 2 2 5 2" xfId="1480"/>
    <cellStyle name="Comma 2 2 4 2 2 2 5 2 2" xfId="1481"/>
    <cellStyle name="Comma 2 2 4 2 2 2 5 3" xfId="1482"/>
    <cellStyle name="Comma 2 2 4 2 2 2 6" xfId="1483"/>
    <cellStyle name="Comma 2 2 4 2 2 2 6 2" xfId="1484"/>
    <cellStyle name="Comma 2 2 4 2 2 2 7" xfId="1485"/>
    <cellStyle name="Comma 2 2 4 2 2 2 7 2" xfId="35864"/>
    <cellStyle name="Comma 2 2 4 2 2 2 8" xfId="1486"/>
    <cellStyle name="Comma 2 2 4 2 2 3" xfId="1487"/>
    <cellStyle name="Comma 2 2 4 2 2 3 2" xfId="1488"/>
    <cellStyle name="Comma 2 2 4 2 2 3 2 2" xfId="1489"/>
    <cellStyle name="Comma 2 2 4 2 2 3 2 2 2" xfId="1490"/>
    <cellStyle name="Comma 2 2 4 2 2 3 2 2 3" xfId="1491"/>
    <cellStyle name="Comma 2 2 4 2 2 3 2 3" xfId="1492"/>
    <cellStyle name="Comma 2 2 4 2 2 3 2 3 2" xfId="1493"/>
    <cellStyle name="Comma 2 2 4 2 2 3 2 4" xfId="1494"/>
    <cellStyle name="Comma 2 2 4 2 2 3 3" xfId="1495"/>
    <cellStyle name="Comma 2 2 4 2 2 3 3 2" xfId="1496"/>
    <cellStyle name="Comma 2 2 4 2 2 3 3 2 2" xfId="1497"/>
    <cellStyle name="Comma 2 2 4 2 2 3 3 3" xfId="1498"/>
    <cellStyle name="Comma 2 2 4 2 2 3 4" xfId="1499"/>
    <cellStyle name="Comma 2 2 4 2 2 3 4 2" xfId="1500"/>
    <cellStyle name="Comma 2 2 4 2 2 3 4 3" xfId="1501"/>
    <cellStyle name="Comma 2 2 4 2 2 3 5" xfId="1502"/>
    <cellStyle name="Comma 2 2 4 2 2 3 5 2" xfId="1503"/>
    <cellStyle name="Comma 2 2 4 2 2 3 6" xfId="1504"/>
    <cellStyle name="Comma 2 2 4 2 2 3 6 2" xfId="35865"/>
    <cellStyle name="Comma 2 2 4 2 2 3 7" xfId="1505"/>
    <cellStyle name="Comma 2 2 4 2 2 4" xfId="1506"/>
    <cellStyle name="Comma 2 2 4 2 2 4 2" xfId="1507"/>
    <cellStyle name="Comma 2 2 4 2 2 4 2 2" xfId="1508"/>
    <cellStyle name="Comma 2 2 4 2 2 4 2 2 2" xfId="1509"/>
    <cellStyle name="Comma 2 2 4 2 2 4 2 3" xfId="1510"/>
    <cellStyle name="Comma 2 2 4 2 2 4 3" xfId="1511"/>
    <cellStyle name="Comma 2 2 4 2 2 4 3 2" xfId="1512"/>
    <cellStyle name="Comma 2 2 4 2 2 4 4" xfId="1513"/>
    <cellStyle name="Comma 2 2 4 2 2 5" xfId="1514"/>
    <cellStyle name="Comma 2 2 4 2 2 5 2" xfId="1515"/>
    <cellStyle name="Comma 2 2 4 2 2 5 2 2" xfId="1516"/>
    <cellStyle name="Comma 2 2 4 2 2 5 3" xfId="1517"/>
    <cellStyle name="Comma 2 2 4 2 2 6" xfId="1518"/>
    <cellStyle name="Comma 2 2 4 2 2 6 2" xfId="1519"/>
    <cellStyle name="Comma 2 2 4 2 2 6 2 2" xfId="1520"/>
    <cellStyle name="Comma 2 2 4 2 2 6 3" xfId="1521"/>
    <cellStyle name="Comma 2 2 4 2 2 7" xfId="1522"/>
    <cellStyle name="Comma 2 2 4 2 2 7 2" xfId="1523"/>
    <cellStyle name="Comma 2 2 4 2 2 8" xfId="1524"/>
    <cellStyle name="Comma 2 2 4 2 2 8 2" xfId="35866"/>
    <cellStyle name="Comma 2 2 4 2 2 9" xfId="1525"/>
    <cellStyle name="Comma 2 2 4 2 3" xfId="1526"/>
    <cellStyle name="Comma 2 2 4 2 3 2" xfId="1527"/>
    <cellStyle name="Comma 2 2 4 2 3 2 2" xfId="1528"/>
    <cellStyle name="Comma 2 2 4 2 3 2 2 2" xfId="1529"/>
    <cellStyle name="Comma 2 2 4 2 3 2 2 2 2" xfId="1530"/>
    <cellStyle name="Comma 2 2 4 2 3 2 2 2 3" xfId="1531"/>
    <cellStyle name="Comma 2 2 4 2 3 2 2 3" xfId="1532"/>
    <cellStyle name="Comma 2 2 4 2 3 2 2 3 2" xfId="1533"/>
    <cellStyle name="Comma 2 2 4 2 3 2 2 4" xfId="1534"/>
    <cellStyle name="Comma 2 2 4 2 3 2 3" xfId="1535"/>
    <cellStyle name="Comma 2 2 4 2 3 2 3 2" xfId="1536"/>
    <cellStyle name="Comma 2 2 4 2 3 2 3 2 2" xfId="1537"/>
    <cellStyle name="Comma 2 2 4 2 3 2 3 3" xfId="1538"/>
    <cellStyle name="Comma 2 2 4 2 3 2 4" xfId="1539"/>
    <cellStyle name="Comma 2 2 4 2 3 2 4 2" xfId="1540"/>
    <cellStyle name="Comma 2 2 4 2 3 2 4 3" xfId="1541"/>
    <cellStyle name="Comma 2 2 4 2 3 2 5" xfId="1542"/>
    <cellStyle name="Comma 2 2 4 2 3 2 5 2" xfId="1543"/>
    <cellStyle name="Comma 2 2 4 2 3 2 6" xfId="1544"/>
    <cellStyle name="Comma 2 2 4 2 3 2 6 2" xfId="35867"/>
    <cellStyle name="Comma 2 2 4 2 3 2 7" xfId="1545"/>
    <cellStyle name="Comma 2 2 4 2 3 3" xfId="1546"/>
    <cellStyle name="Comma 2 2 4 2 3 3 2" xfId="1547"/>
    <cellStyle name="Comma 2 2 4 2 3 3 2 2" xfId="1548"/>
    <cellStyle name="Comma 2 2 4 2 3 3 2 2 2" xfId="1549"/>
    <cellStyle name="Comma 2 2 4 2 3 3 2 3" xfId="1550"/>
    <cellStyle name="Comma 2 2 4 2 3 3 3" xfId="1551"/>
    <cellStyle name="Comma 2 2 4 2 3 3 3 2" xfId="1552"/>
    <cellStyle name="Comma 2 2 4 2 3 3 4" xfId="1553"/>
    <cellStyle name="Comma 2 2 4 2 3 4" xfId="1554"/>
    <cellStyle name="Comma 2 2 4 2 3 4 2" xfId="1555"/>
    <cellStyle name="Comma 2 2 4 2 3 4 2 2" xfId="1556"/>
    <cellStyle name="Comma 2 2 4 2 3 4 3" xfId="1557"/>
    <cellStyle name="Comma 2 2 4 2 3 5" xfId="1558"/>
    <cellStyle name="Comma 2 2 4 2 3 5 2" xfId="1559"/>
    <cellStyle name="Comma 2 2 4 2 3 5 2 2" xfId="1560"/>
    <cellStyle name="Comma 2 2 4 2 3 5 3" xfId="1561"/>
    <cellStyle name="Comma 2 2 4 2 3 6" xfId="1562"/>
    <cellStyle name="Comma 2 2 4 2 3 6 2" xfId="1563"/>
    <cellStyle name="Comma 2 2 4 2 3 7" xfId="1564"/>
    <cellStyle name="Comma 2 2 4 2 3 7 2" xfId="35868"/>
    <cellStyle name="Comma 2 2 4 2 3 8" xfId="1565"/>
    <cellStyle name="Comma 2 2 4 2 4" xfId="1566"/>
    <cellStyle name="Comma 2 2 4 2 4 2" xfId="1567"/>
    <cellStyle name="Comma 2 2 4 2 4 2 2" xfId="1568"/>
    <cellStyle name="Comma 2 2 4 2 4 2 2 2" xfId="1569"/>
    <cellStyle name="Comma 2 2 4 2 4 2 2 3" xfId="1570"/>
    <cellStyle name="Comma 2 2 4 2 4 2 3" xfId="1571"/>
    <cellStyle name="Comma 2 2 4 2 4 2 3 2" xfId="1572"/>
    <cellStyle name="Comma 2 2 4 2 4 2 4" xfId="1573"/>
    <cellStyle name="Comma 2 2 4 2 4 3" xfId="1574"/>
    <cellStyle name="Comma 2 2 4 2 4 3 2" xfId="1575"/>
    <cellStyle name="Comma 2 2 4 2 4 3 2 2" xfId="1576"/>
    <cellStyle name="Comma 2 2 4 2 4 3 3" xfId="1577"/>
    <cellStyle name="Comma 2 2 4 2 4 4" xfId="1578"/>
    <cellStyle name="Comma 2 2 4 2 4 4 2" xfId="1579"/>
    <cellStyle name="Comma 2 2 4 2 4 4 3" xfId="1580"/>
    <cellStyle name="Comma 2 2 4 2 4 5" xfId="1581"/>
    <cellStyle name="Comma 2 2 4 2 4 5 2" xfId="1582"/>
    <cellStyle name="Comma 2 2 4 2 4 6" xfId="1583"/>
    <cellStyle name="Comma 2 2 4 2 4 6 2" xfId="35869"/>
    <cellStyle name="Comma 2 2 4 2 4 7" xfId="1584"/>
    <cellStyle name="Comma 2 2 4 2 5" xfId="1585"/>
    <cellStyle name="Comma 2 2 4 2 5 2" xfId="1586"/>
    <cellStyle name="Comma 2 2 4 2 5 2 2" xfId="1587"/>
    <cellStyle name="Comma 2 2 4 2 5 2 2 2" xfId="1588"/>
    <cellStyle name="Comma 2 2 4 2 5 2 3" xfId="1589"/>
    <cellStyle name="Comma 2 2 4 2 5 3" xfId="1590"/>
    <cellStyle name="Comma 2 2 4 2 5 3 2" xfId="1591"/>
    <cellStyle name="Comma 2 2 4 2 5 4" xfId="1592"/>
    <cellStyle name="Comma 2 2 4 2 6" xfId="1593"/>
    <cellStyle name="Comma 2 2 4 2 6 2" xfId="1594"/>
    <cellStyle name="Comma 2 2 4 2 6 2 2" xfId="1595"/>
    <cellStyle name="Comma 2 2 4 2 6 3" xfId="1596"/>
    <cellStyle name="Comma 2 2 4 2 7" xfId="1597"/>
    <cellStyle name="Comma 2 2 4 2 7 2" xfId="1598"/>
    <cellStyle name="Comma 2 2 4 2 7 2 2" xfId="1599"/>
    <cellStyle name="Comma 2 2 4 2 7 3" xfId="1600"/>
    <cellStyle name="Comma 2 2 4 2 8" xfId="1601"/>
    <cellStyle name="Comma 2 2 4 2 8 2" xfId="1602"/>
    <cellStyle name="Comma 2 2 4 2 9" xfId="1603"/>
    <cellStyle name="Comma 2 2 4 2 9 2" xfId="35870"/>
    <cellStyle name="Comma 2 2 4 3" xfId="1604"/>
    <cellStyle name="Comma 2 2 4 3 2" xfId="1605"/>
    <cellStyle name="Comma 2 2 4 3 2 2" xfId="1606"/>
    <cellStyle name="Comma 2 2 4 3 2 2 2" xfId="1607"/>
    <cellStyle name="Comma 2 2 4 3 2 2 2 2" xfId="1608"/>
    <cellStyle name="Comma 2 2 4 3 2 2 2 2 2" xfId="1609"/>
    <cellStyle name="Comma 2 2 4 3 2 2 2 2 3" xfId="1610"/>
    <cellStyle name="Comma 2 2 4 3 2 2 2 3" xfId="1611"/>
    <cellStyle name="Comma 2 2 4 3 2 2 2 3 2" xfId="1612"/>
    <cellStyle name="Comma 2 2 4 3 2 2 2 4" xfId="1613"/>
    <cellStyle name="Comma 2 2 4 3 2 2 3" xfId="1614"/>
    <cellStyle name="Comma 2 2 4 3 2 2 3 2" xfId="1615"/>
    <cellStyle name="Comma 2 2 4 3 2 2 3 2 2" xfId="1616"/>
    <cellStyle name="Comma 2 2 4 3 2 2 3 3" xfId="1617"/>
    <cellStyle name="Comma 2 2 4 3 2 2 4" xfId="1618"/>
    <cellStyle name="Comma 2 2 4 3 2 2 4 2" xfId="1619"/>
    <cellStyle name="Comma 2 2 4 3 2 2 4 3" xfId="1620"/>
    <cellStyle name="Comma 2 2 4 3 2 2 5" xfId="1621"/>
    <cellStyle name="Comma 2 2 4 3 2 2 5 2" xfId="1622"/>
    <cellStyle name="Comma 2 2 4 3 2 2 6" xfId="1623"/>
    <cellStyle name="Comma 2 2 4 3 2 2 6 2" xfId="35871"/>
    <cellStyle name="Comma 2 2 4 3 2 2 7" xfId="1624"/>
    <cellStyle name="Comma 2 2 4 3 2 3" xfId="1625"/>
    <cellStyle name="Comma 2 2 4 3 2 3 2" xfId="1626"/>
    <cellStyle name="Comma 2 2 4 3 2 3 2 2" xfId="1627"/>
    <cellStyle name="Comma 2 2 4 3 2 3 2 2 2" xfId="1628"/>
    <cellStyle name="Comma 2 2 4 3 2 3 2 3" xfId="1629"/>
    <cellStyle name="Comma 2 2 4 3 2 3 3" xfId="1630"/>
    <cellStyle name="Comma 2 2 4 3 2 3 3 2" xfId="1631"/>
    <cellStyle name="Comma 2 2 4 3 2 3 4" xfId="1632"/>
    <cellStyle name="Comma 2 2 4 3 2 4" xfId="1633"/>
    <cellStyle name="Comma 2 2 4 3 2 4 2" xfId="1634"/>
    <cellStyle name="Comma 2 2 4 3 2 4 2 2" xfId="1635"/>
    <cellStyle name="Comma 2 2 4 3 2 4 3" xfId="1636"/>
    <cellStyle name="Comma 2 2 4 3 2 5" xfId="1637"/>
    <cellStyle name="Comma 2 2 4 3 2 5 2" xfId="1638"/>
    <cellStyle name="Comma 2 2 4 3 2 5 2 2" xfId="1639"/>
    <cellStyle name="Comma 2 2 4 3 2 5 3" xfId="1640"/>
    <cellStyle name="Comma 2 2 4 3 2 6" xfId="1641"/>
    <cellStyle name="Comma 2 2 4 3 2 6 2" xfId="1642"/>
    <cellStyle name="Comma 2 2 4 3 2 7" xfId="1643"/>
    <cellStyle name="Comma 2 2 4 3 2 7 2" xfId="35872"/>
    <cellStyle name="Comma 2 2 4 3 2 8" xfId="1644"/>
    <cellStyle name="Comma 2 2 4 3 3" xfId="1645"/>
    <cellStyle name="Comma 2 2 4 3 3 2" xfId="1646"/>
    <cellStyle name="Comma 2 2 4 3 3 2 2" xfId="1647"/>
    <cellStyle name="Comma 2 2 4 3 3 2 2 2" xfId="1648"/>
    <cellStyle name="Comma 2 2 4 3 3 2 2 3" xfId="1649"/>
    <cellStyle name="Comma 2 2 4 3 3 2 3" xfId="1650"/>
    <cellStyle name="Comma 2 2 4 3 3 2 3 2" xfId="1651"/>
    <cellStyle name="Comma 2 2 4 3 3 2 4" xfId="1652"/>
    <cellStyle name="Comma 2 2 4 3 3 3" xfId="1653"/>
    <cellStyle name="Comma 2 2 4 3 3 3 2" xfId="1654"/>
    <cellStyle name="Comma 2 2 4 3 3 3 2 2" xfId="1655"/>
    <cellStyle name="Comma 2 2 4 3 3 3 3" xfId="1656"/>
    <cellStyle name="Comma 2 2 4 3 3 4" xfId="1657"/>
    <cellStyle name="Comma 2 2 4 3 3 4 2" xfId="1658"/>
    <cellStyle name="Comma 2 2 4 3 3 4 3" xfId="1659"/>
    <cellStyle name="Comma 2 2 4 3 3 5" xfId="1660"/>
    <cellStyle name="Comma 2 2 4 3 3 5 2" xfId="1661"/>
    <cellStyle name="Comma 2 2 4 3 3 6" xfId="1662"/>
    <cellStyle name="Comma 2 2 4 3 3 6 2" xfId="35873"/>
    <cellStyle name="Comma 2 2 4 3 3 7" xfId="1663"/>
    <cellStyle name="Comma 2 2 4 3 4" xfId="1664"/>
    <cellStyle name="Comma 2 2 4 3 4 2" xfId="1665"/>
    <cellStyle name="Comma 2 2 4 3 4 2 2" xfId="1666"/>
    <cellStyle name="Comma 2 2 4 3 4 2 2 2" xfId="1667"/>
    <cellStyle name="Comma 2 2 4 3 4 2 3" xfId="1668"/>
    <cellStyle name="Comma 2 2 4 3 4 3" xfId="1669"/>
    <cellStyle name="Comma 2 2 4 3 4 3 2" xfId="1670"/>
    <cellStyle name="Comma 2 2 4 3 4 4" xfId="1671"/>
    <cellStyle name="Comma 2 2 4 3 5" xfId="1672"/>
    <cellStyle name="Comma 2 2 4 3 5 2" xfId="1673"/>
    <cellStyle name="Comma 2 2 4 3 5 2 2" xfId="1674"/>
    <cellStyle name="Comma 2 2 4 3 5 3" xfId="1675"/>
    <cellStyle name="Comma 2 2 4 3 6" xfId="1676"/>
    <cellStyle name="Comma 2 2 4 3 6 2" xfId="1677"/>
    <cellStyle name="Comma 2 2 4 3 6 2 2" xfId="1678"/>
    <cellStyle name="Comma 2 2 4 3 6 3" xfId="1679"/>
    <cellStyle name="Comma 2 2 4 3 7" xfId="1680"/>
    <cellStyle name="Comma 2 2 4 3 7 2" xfId="1681"/>
    <cellStyle name="Comma 2 2 4 3 8" xfId="1682"/>
    <cellStyle name="Comma 2 2 4 3 8 2" xfId="35874"/>
    <cellStyle name="Comma 2 2 4 3 9" xfId="1683"/>
    <cellStyle name="Comma 2 2 4 4" xfId="1684"/>
    <cellStyle name="Comma 2 2 4 4 2" xfId="1685"/>
    <cellStyle name="Comma 2 2 4 4 2 2" xfId="1686"/>
    <cellStyle name="Comma 2 2 4 4 2 2 2" xfId="1687"/>
    <cellStyle name="Comma 2 2 4 4 2 2 2 2" xfId="1688"/>
    <cellStyle name="Comma 2 2 4 4 2 2 2 3" xfId="1689"/>
    <cellStyle name="Comma 2 2 4 4 2 2 3" xfId="1690"/>
    <cellStyle name="Comma 2 2 4 4 2 2 3 2" xfId="1691"/>
    <cellStyle name="Comma 2 2 4 4 2 2 4" xfId="1692"/>
    <cellStyle name="Comma 2 2 4 4 2 3" xfId="1693"/>
    <cellStyle name="Comma 2 2 4 4 2 3 2" xfId="1694"/>
    <cellStyle name="Comma 2 2 4 4 2 3 2 2" xfId="1695"/>
    <cellStyle name="Comma 2 2 4 4 2 3 3" xfId="1696"/>
    <cellStyle name="Comma 2 2 4 4 2 4" xfId="1697"/>
    <cellStyle name="Comma 2 2 4 4 2 4 2" xfId="1698"/>
    <cellStyle name="Comma 2 2 4 4 2 4 3" xfId="1699"/>
    <cellStyle name="Comma 2 2 4 4 2 5" xfId="1700"/>
    <cellStyle name="Comma 2 2 4 4 2 5 2" xfId="1701"/>
    <cellStyle name="Comma 2 2 4 4 2 6" xfId="1702"/>
    <cellStyle name="Comma 2 2 4 4 2 6 2" xfId="35875"/>
    <cellStyle name="Comma 2 2 4 4 2 7" xfId="1703"/>
    <cellStyle name="Comma 2 2 4 4 3" xfId="1704"/>
    <cellStyle name="Comma 2 2 4 4 3 2" xfId="1705"/>
    <cellStyle name="Comma 2 2 4 4 3 2 2" xfId="1706"/>
    <cellStyle name="Comma 2 2 4 4 3 2 2 2" xfId="1707"/>
    <cellStyle name="Comma 2 2 4 4 3 2 3" xfId="1708"/>
    <cellStyle name="Comma 2 2 4 4 3 3" xfId="1709"/>
    <cellStyle name="Comma 2 2 4 4 3 3 2" xfId="1710"/>
    <cellStyle name="Comma 2 2 4 4 3 4" xfId="1711"/>
    <cellStyle name="Comma 2 2 4 4 4" xfId="1712"/>
    <cellStyle name="Comma 2 2 4 4 4 2" xfId="1713"/>
    <cellStyle name="Comma 2 2 4 4 4 2 2" xfId="1714"/>
    <cellStyle name="Comma 2 2 4 4 4 3" xfId="1715"/>
    <cellStyle name="Comma 2 2 4 4 5" xfId="1716"/>
    <cellStyle name="Comma 2 2 4 4 5 2" xfId="1717"/>
    <cellStyle name="Comma 2 2 4 4 5 2 2" xfId="1718"/>
    <cellStyle name="Comma 2 2 4 4 5 3" xfId="1719"/>
    <cellStyle name="Comma 2 2 4 4 6" xfId="1720"/>
    <cellStyle name="Comma 2 2 4 4 6 2" xfId="1721"/>
    <cellStyle name="Comma 2 2 4 4 7" xfId="1722"/>
    <cellStyle name="Comma 2 2 4 4 7 2" xfId="35876"/>
    <cellStyle name="Comma 2 2 4 4 8" xfId="1723"/>
    <cellStyle name="Comma 2 2 4 5" xfId="1724"/>
    <cellStyle name="Comma 2 2 4 5 2" xfId="1725"/>
    <cellStyle name="Comma 2 2 4 5 2 2" xfId="1726"/>
    <cellStyle name="Comma 2 2 4 5 2 2 2" xfId="1727"/>
    <cellStyle name="Comma 2 2 4 5 2 2 2 2" xfId="1728"/>
    <cellStyle name="Comma 2 2 4 5 2 2 2 3" xfId="1729"/>
    <cellStyle name="Comma 2 2 4 5 2 2 3" xfId="1730"/>
    <cellStyle name="Comma 2 2 4 5 2 2 3 2" xfId="1731"/>
    <cellStyle name="Comma 2 2 4 5 2 2 4" xfId="1732"/>
    <cellStyle name="Comma 2 2 4 5 2 3" xfId="1733"/>
    <cellStyle name="Comma 2 2 4 5 2 3 2" xfId="1734"/>
    <cellStyle name="Comma 2 2 4 5 2 3 2 2" xfId="1735"/>
    <cellStyle name="Comma 2 2 4 5 2 3 3" xfId="1736"/>
    <cellStyle name="Comma 2 2 4 5 2 4" xfId="1737"/>
    <cellStyle name="Comma 2 2 4 5 2 4 2" xfId="1738"/>
    <cellStyle name="Comma 2 2 4 5 2 4 3" xfId="1739"/>
    <cellStyle name="Comma 2 2 4 5 2 5" xfId="1740"/>
    <cellStyle name="Comma 2 2 4 5 2 5 2" xfId="1741"/>
    <cellStyle name="Comma 2 2 4 5 2 6" xfId="1742"/>
    <cellStyle name="Comma 2 2 4 5 2 6 2" xfId="35877"/>
    <cellStyle name="Comma 2 2 4 5 2 7" xfId="1743"/>
    <cellStyle name="Comma 2 2 4 5 3" xfId="1744"/>
    <cellStyle name="Comma 2 2 4 5 3 2" xfId="1745"/>
    <cellStyle name="Comma 2 2 4 5 3 2 2" xfId="1746"/>
    <cellStyle name="Comma 2 2 4 5 3 2 2 2" xfId="1747"/>
    <cellStyle name="Comma 2 2 4 5 3 2 3" xfId="1748"/>
    <cellStyle name="Comma 2 2 4 5 3 3" xfId="1749"/>
    <cellStyle name="Comma 2 2 4 5 3 3 2" xfId="1750"/>
    <cellStyle name="Comma 2 2 4 5 3 4" xfId="1751"/>
    <cellStyle name="Comma 2 2 4 5 4" xfId="1752"/>
    <cellStyle name="Comma 2 2 4 5 4 2" xfId="1753"/>
    <cellStyle name="Comma 2 2 4 5 4 2 2" xfId="1754"/>
    <cellStyle name="Comma 2 2 4 5 4 3" xfId="1755"/>
    <cellStyle name="Comma 2 2 4 5 5" xfId="1756"/>
    <cellStyle name="Comma 2 2 4 5 5 2" xfId="1757"/>
    <cellStyle name="Comma 2 2 4 5 5 2 2" xfId="1758"/>
    <cellStyle name="Comma 2 2 4 5 5 3" xfId="1759"/>
    <cellStyle name="Comma 2 2 4 5 6" xfId="1760"/>
    <cellStyle name="Comma 2 2 4 5 6 2" xfId="1761"/>
    <cellStyle name="Comma 2 2 4 5 7" xfId="1762"/>
    <cellStyle name="Comma 2 2 4 5 7 2" xfId="35878"/>
    <cellStyle name="Comma 2 2 4 5 8" xfId="1763"/>
    <cellStyle name="Comma 2 2 4 6" xfId="1764"/>
    <cellStyle name="Comma 2 2 4 6 2" xfId="1765"/>
    <cellStyle name="Comma 2 2 4 6 2 2" xfId="1766"/>
    <cellStyle name="Comma 2 2 4 6 2 2 2" xfId="1767"/>
    <cellStyle name="Comma 2 2 4 6 2 2 3" xfId="1768"/>
    <cellStyle name="Comma 2 2 4 6 2 3" xfId="1769"/>
    <cellStyle name="Comma 2 2 4 6 2 3 2" xfId="1770"/>
    <cellStyle name="Comma 2 2 4 6 2 4" xfId="1771"/>
    <cellStyle name="Comma 2 2 4 6 3" xfId="1772"/>
    <cellStyle name="Comma 2 2 4 6 3 2" xfId="1773"/>
    <cellStyle name="Comma 2 2 4 6 3 2 2" xfId="1774"/>
    <cellStyle name="Comma 2 2 4 6 3 3" xfId="1775"/>
    <cellStyle name="Comma 2 2 4 6 4" xfId="1776"/>
    <cellStyle name="Comma 2 2 4 6 4 2" xfId="1777"/>
    <cellStyle name="Comma 2 2 4 6 4 3" xfId="1778"/>
    <cellStyle name="Comma 2 2 4 6 5" xfId="1779"/>
    <cellStyle name="Comma 2 2 4 6 5 2" xfId="1780"/>
    <cellStyle name="Comma 2 2 4 6 6" xfId="1781"/>
    <cellStyle name="Comma 2 2 4 6 6 2" xfId="35879"/>
    <cellStyle name="Comma 2 2 4 6 7" xfId="1782"/>
    <cellStyle name="Comma 2 2 4 7" xfId="1783"/>
    <cellStyle name="Comma 2 2 4 7 2" xfId="1784"/>
    <cellStyle name="Comma 2 2 4 7 2 2" xfId="1785"/>
    <cellStyle name="Comma 2 2 4 7 2 2 2" xfId="1786"/>
    <cellStyle name="Comma 2 2 4 7 2 3" xfId="1787"/>
    <cellStyle name="Comma 2 2 4 7 3" xfId="1788"/>
    <cellStyle name="Comma 2 2 4 7 3 2" xfId="1789"/>
    <cellStyle name="Comma 2 2 4 7 4" xfId="1790"/>
    <cellStyle name="Comma 2 2 4 8" xfId="1791"/>
    <cellStyle name="Comma 2 2 4 8 2" xfId="1792"/>
    <cellStyle name="Comma 2 2 4 8 2 2" xfId="1793"/>
    <cellStyle name="Comma 2 2 4 8 3" xfId="1794"/>
    <cellStyle name="Comma 2 2 4 9" xfId="1795"/>
    <cellStyle name="Comma 2 2 4 9 2" xfId="1796"/>
    <cellStyle name="Comma 2 2 4 9 2 2" xfId="1797"/>
    <cellStyle name="Comma 2 2 4 9 3" xfId="1798"/>
    <cellStyle name="Comma 2 2 5" xfId="1799"/>
    <cellStyle name="Comma 2 2 5 10" xfId="1800"/>
    <cellStyle name="Comma 2 2 5 10 2" xfId="1801"/>
    <cellStyle name="Comma 2 2 5 11" xfId="1802"/>
    <cellStyle name="Comma 2 2 5 11 2" xfId="35880"/>
    <cellStyle name="Comma 2 2 5 12" xfId="1803"/>
    <cellStyle name="Comma 2 2 5 2" xfId="1804"/>
    <cellStyle name="Comma 2 2 5 2 10" xfId="1805"/>
    <cellStyle name="Comma 2 2 5 2 2" xfId="1806"/>
    <cellStyle name="Comma 2 2 5 2 2 2" xfId="1807"/>
    <cellStyle name="Comma 2 2 5 2 2 2 2" xfId="1808"/>
    <cellStyle name="Comma 2 2 5 2 2 2 2 2" xfId="1809"/>
    <cellStyle name="Comma 2 2 5 2 2 2 2 2 2" xfId="1810"/>
    <cellStyle name="Comma 2 2 5 2 2 2 2 2 2 2" xfId="1811"/>
    <cellStyle name="Comma 2 2 5 2 2 2 2 2 2 3" xfId="1812"/>
    <cellStyle name="Comma 2 2 5 2 2 2 2 2 3" xfId="1813"/>
    <cellStyle name="Comma 2 2 5 2 2 2 2 2 3 2" xfId="1814"/>
    <cellStyle name="Comma 2 2 5 2 2 2 2 2 4" xfId="1815"/>
    <cellStyle name="Comma 2 2 5 2 2 2 2 3" xfId="1816"/>
    <cellStyle name="Comma 2 2 5 2 2 2 2 3 2" xfId="1817"/>
    <cellStyle name="Comma 2 2 5 2 2 2 2 3 2 2" xfId="1818"/>
    <cellStyle name="Comma 2 2 5 2 2 2 2 3 3" xfId="1819"/>
    <cellStyle name="Comma 2 2 5 2 2 2 2 4" xfId="1820"/>
    <cellStyle name="Comma 2 2 5 2 2 2 2 4 2" xfId="1821"/>
    <cellStyle name="Comma 2 2 5 2 2 2 2 4 3" xfId="1822"/>
    <cellStyle name="Comma 2 2 5 2 2 2 2 5" xfId="1823"/>
    <cellStyle name="Comma 2 2 5 2 2 2 2 5 2" xfId="1824"/>
    <cellStyle name="Comma 2 2 5 2 2 2 2 6" xfId="1825"/>
    <cellStyle name="Comma 2 2 5 2 2 2 2 6 2" xfId="35881"/>
    <cellStyle name="Comma 2 2 5 2 2 2 2 7" xfId="1826"/>
    <cellStyle name="Comma 2 2 5 2 2 2 3" xfId="1827"/>
    <cellStyle name="Comma 2 2 5 2 2 2 3 2" xfId="1828"/>
    <cellStyle name="Comma 2 2 5 2 2 2 3 2 2" xfId="1829"/>
    <cellStyle name="Comma 2 2 5 2 2 2 3 2 2 2" xfId="1830"/>
    <cellStyle name="Comma 2 2 5 2 2 2 3 2 3" xfId="1831"/>
    <cellStyle name="Comma 2 2 5 2 2 2 3 3" xfId="1832"/>
    <cellStyle name="Comma 2 2 5 2 2 2 3 3 2" xfId="1833"/>
    <cellStyle name="Comma 2 2 5 2 2 2 3 4" xfId="1834"/>
    <cellStyle name="Comma 2 2 5 2 2 2 4" xfId="1835"/>
    <cellStyle name="Comma 2 2 5 2 2 2 4 2" xfId="1836"/>
    <cellStyle name="Comma 2 2 5 2 2 2 4 2 2" xfId="1837"/>
    <cellStyle name="Comma 2 2 5 2 2 2 4 3" xfId="1838"/>
    <cellStyle name="Comma 2 2 5 2 2 2 5" xfId="1839"/>
    <cellStyle name="Comma 2 2 5 2 2 2 5 2" xfId="1840"/>
    <cellStyle name="Comma 2 2 5 2 2 2 5 2 2" xfId="1841"/>
    <cellStyle name="Comma 2 2 5 2 2 2 5 3" xfId="1842"/>
    <cellStyle name="Comma 2 2 5 2 2 2 6" xfId="1843"/>
    <cellStyle name="Comma 2 2 5 2 2 2 6 2" xfId="1844"/>
    <cellStyle name="Comma 2 2 5 2 2 2 7" xfId="1845"/>
    <cellStyle name="Comma 2 2 5 2 2 2 7 2" xfId="35882"/>
    <cellStyle name="Comma 2 2 5 2 2 2 8" xfId="1846"/>
    <cellStyle name="Comma 2 2 5 2 2 3" xfId="1847"/>
    <cellStyle name="Comma 2 2 5 2 2 3 2" xfId="1848"/>
    <cellStyle name="Comma 2 2 5 2 2 3 2 2" xfId="1849"/>
    <cellStyle name="Comma 2 2 5 2 2 3 2 2 2" xfId="1850"/>
    <cellStyle name="Comma 2 2 5 2 2 3 2 2 3" xfId="1851"/>
    <cellStyle name="Comma 2 2 5 2 2 3 2 3" xfId="1852"/>
    <cellStyle name="Comma 2 2 5 2 2 3 2 3 2" xfId="1853"/>
    <cellStyle name="Comma 2 2 5 2 2 3 2 4" xfId="1854"/>
    <cellStyle name="Comma 2 2 5 2 2 3 3" xfId="1855"/>
    <cellStyle name="Comma 2 2 5 2 2 3 3 2" xfId="1856"/>
    <cellStyle name="Comma 2 2 5 2 2 3 3 2 2" xfId="1857"/>
    <cellStyle name="Comma 2 2 5 2 2 3 3 3" xfId="1858"/>
    <cellStyle name="Comma 2 2 5 2 2 3 4" xfId="1859"/>
    <cellStyle name="Comma 2 2 5 2 2 3 4 2" xfId="1860"/>
    <cellStyle name="Comma 2 2 5 2 2 3 4 3" xfId="1861"/>
    <cellStyle name="Comma 2 2 5 2 2 3 5" xfId="1862"/>
    <cellStyle name="Comma 2 2 5 2 2 3 5 2" xfId="1863"/>
    <cellStyle name="Comma 2 2 5 2 2 3 6" xfId="1864"/>
    <cellStyle name="Comma 2 2 5 2 2 3 6 2" xfId="35883"/>
    <cellStyle name="Comma 2 2 5 2 2 3 7" xfId="1865"/>
    <cellStyle name="Comma 2 2 5 2 2 4" xfId="1866"/>
    <cellStyle name="Comma 2 2 5 2 2 4 2" xfId="1867"/>
    <cellStyle name="Comma 2 2 5 2 2 4 2 2" xfId="1868"/>
    <cellStyle name="Comma 2 2 5 2 2 4 2 2 2" xfId="1869"/>
    <cellStyle name="Comma 2 2 5 2 2 4 2 3" xfId="1870"/>
    <cellStyle name="Comma 2 2 5 2 2 4 3" xfId="1871"/>
    <cellStyle name="Comma 2 2 5 2 2 4 3 2" xfId="1872"/>
    <cellStyle name="Comma 2 2 5 2 2 4 4" xfId="1873"/>
    <cellStyle name="Comma 2 2 5 2 2 5" xfId="1874"/>
    <cellStyle name="Comma 2 2 5 2 2 5 2" xfId="1875"/>
    <cellStyle name="Comma 2 2 5 2 2 5 2 2" xfId="1876"/>
    <cellStyle name="Comma 2 2 5 2 2 5 3" xfId="1877"/>
    <cellStyle name="Comma 2 2 5 2 2 6" xfId="1878"/>
    <cellStyle name="Comma 2 2 5 2 2 6 2" xfId="1879"/>
    <cellStyle name="Comma 2 2 5 2 2 6 2 2" xfId="1880"/>
    <cellStyle name="Comma 2 2 5 2 2 6 3" xfId="1881"/>
    <cellStyle name="Comma 2 2 5 2 2 7" xfId="1882"/>
    <cellStyle name="Comma 2 2 5 2 2 7 2" xfId="1883"/>
    <cellStyle name="Comma 2 2 5 2 2 8" xfId="1884"/>
    <cellStyle name="Comma 2 2 5 2 2 8 2" xfId="35884"/>
    <cellStyle name="Comma 2 2 5 2 2 9" xfId="1885"/>
    <cellStyle name="Comma 2 2 5 2 3" xfId="1886"/>
    <cellStyle name="Comma 2 2 5 2 3 2" xfId="1887"/>
    <cellStyle name="Comma 2 2 5 2 3 2 2" xfId="1888"/>
    <cellStyle name="Comma 2 2 5 2 3 2 2 2" xfId="1889"/>
    <cellStyle name="Comma 2 2 5 2 3 2 2 2 2" xfId="1890"/>
    <cellStyle name="Comma 2 2 5 2 3 2 2 2 3" xfId="1891"/>
    <cellStyle name="Comma 2 2 5 2 3 2 2 3" xfId="1892"/>
    <cellStyle name="Comma 2 2 5 2 3 2 2 3 2" xfId="1893"/>
    <cellStyle name="Comma 2 2 5 2 3 2 2 4" xfId="1894"/>
    <cellStyle name="Comma 2 2 5 2 3 2 3" xfId="1895"/>
    <cellStyle name="Comma 2 2 5 2 3 2 3 2" xfId="1896"/>
    <cellStyle name="Comma 2 2 5 2 3 2 3 2 2" xfId="1897"/>
    <cellStyle name="Comma 2 2 5 2 3 2 3 3" xfId="1898"/>
    <cellStyle name="Comma 2 2 5 2 3 2 4" xfId="1899"/>
    <cellStyle name="Comma 2 2 5 2 3 2 4 2" xfId="1900"/>
    <cellStyle name="Comma 2 2 5 2 3 2 4 3" xfId="1901"/>
    <cellStyle name="Comma 2 2 5 2 3 2 5" xfId="1902"/>
    <cellStyle name="Comma 2 2 5 2 3 2 5 2" xfId="1903"/>
    <cellStyle name="Comma 2 2 5 2 3 2 6" xfId="1904"/>
    <cellStyle name="Comma 2 2 5 2 3 2 6 2" xfId="35885"/>
    <cellStyle name="Comma 2 2 5 2 3 2 7" xfId="1905"/>
    <cellStyle name="Comma 2 2 5 2 3 3" xfId="1906"/>
    <cellStyle name="Comma 2 2 5 2 3 3 2" xfId="1907"/>
    <cellStyle name="Comma 2 2 5 2 3 3 2 2" xfId="1908"/>
    <cellStyle name="Comma 2 2 5 2 3 3 2 2 2" xfId="1909"/>
    <cellStyle name="Comma 2 2 5 2 3 3 2 3" xfId="1910"/>
    <cellStyle name="Comma 2 2 5 2 3 3 3" xfId="1911"/>
    <cellStyle name="Comma 2 2 5 2 3 3 3 2" xfId="1912"/>
    <cellStyle name="Comma 2 2 5 2 3 3 4" xfId="1913"/>
    <cellStyle name="Comma 2 2 5 2 3 4" xfId="1914"/>
    <cellStyle name="Comma 2 2 5 2 3 4 2" xfId="1915"/>
    <cellStyle name="Comma 2 2 5 2 3 4 2 2" xfId="1916"/>
    <cellStyle name="Comma 2 2 5 2 3 4 3" xfId="1917"/>
    <cellStyle name="Comma 2 2 5 2 3 5" xfId="1918"/>
    <cellStyle name="Comma 2 2 5 2 3 5 2" xfId="1919"/>
    <cellStyle name="Comma 2 2 5 2 3 5 2 2" xfId="1920"/>
    <cellStyle name="Comma 2 2 5 2 3 5 3" xfId="1921"/>
    <cellStyle name="Comma 2 2 5 2 3 6" xfId="1922"/>
    <cellStyle name="Comma 2 2 5 2 3 6 2" xfId="1923"/>
    <cellStyle name="Comma 2 2 5 2 3 7" xfId="1924"/>
    <cellStyle name="Comma 2 2 5 2 3 7 2" xfId="35886"/>
    <cellStyle name="Comma 2 2 5 2 3 8" xfId="1925"/>
    <cellStyle name="Comma 2 2 5 2 4" xfId="1926"/>
    <cellStyle name="Comma 2 2 5 2 4 2" xfId="1927"/>
    <cellStyle name="Comma 2 2 5 2 4 2 2" xfId="1928"/>
    <cellStyle name="Comma 2 2 5 2 4 2 2 2" xfId="1929"/>
    <cellStyle name="Comma 2 2 5 2 4 2 2 3" xfId="1930"/>
    <cellStyle name="Comma 2 2 5 2 4 2 3" xfId="1931"/>
    <cellStyle name="Comma 2 2 5 2 4 2 3 2" xfId="1932"/>
    <cellStyle name="Comma 2 2 5 2 4 2 4" xfId="1933"/>
    <cellStyle name="Comma 2 2 5 2 4 3" xfId="1934"/>
    <cellStyle name="Comma 2 2 5 2 4 3 2" xfId="1935"/>
    <cellStyle name="Comma 2 2 5 2 4 3 2 2" xfId="1936"/>
    <cellStyle name="Comma 2 2 5 2 4 3 3" xfId="1937"/>
    <cellStyle name="Comma 2 2 5 2 4 4" xfId="1938"/>
    <cellStyle name="Comma 2 2 5 2 4 4 2" xfId="1939"/>
    <cellStyle name="Comma 2 2 5 2 4 4 3" xfId="1940"/>
    <cellStyle name="Comma 2 2 5 2 4 5" xfId="1941"/>
    <cellStyle name="Comma 2 2 5 2 4 5 2" xfId="1942"/>
    <cellStyle name="Comma 2 2 5 2 4 6" xfId="1943"/>
    <cellStyle name="Comma 2 2 5 2 4 6 2" xfId="35887"/>
    <cellStyle name="Comma 2 2 5 2 4 7" xfId="1944"/>
    <cellStyle name="Comma 2 2 5 2 5" xfId="1945"/>
    <cellStyle name="Comma 2 2 5 2 5 2" xfId="1946"/>
    <cellStyle name="Comma 2 2 5 2 5 2 2" xfId="1947"/>
    <cellStyle name="Comma 2 2 5 2 5 2 2 2" xfId="1948"/>
    <cellStyle name="Comma 2 2 5 2 5 2 3" xfId="1949"/>
    <cellStyle name="Comma 2 2 5 2 5 3" xfId="1950"/>
    <cellStyle name="Comma 2 2 5 2 5 3 2" xfId="1951"/>
    <cellStyle name="Comma 2 2 5 2 5 4" xfId="1952"/>
    <cellStyle name="Comma 2 2 5 2 6" xfId="1953"/>
    <cellStyle name="Comma 2 2 5 2 6 2" xfId="1954"/>
    <cellStyle name="Comma 2 2 5 2 6 2 2" xfId="1955"/>
    <cellStyle name="Comma 2 2 5 2 6 3" xfId="1956"/>
    <cellStyle name="Comma 2 2 5 2 7" xfId="1957"/>
    <cellStyle name="Comma 2 2 5 2 7 2" xfId="1958"/>
    <cellStyle name="Comma 2 2 5 2 7 2 2" xfId="1959"/>
    <cellStyle name="Comma 2 2 5 2 7 3" xfId="1960"/>
    <cellStyle name="Comma 2 2 5 2 8" xfId="1961"/>
    <cellStyle name="Comma 2 2 5 2 8 2" xfId="1962"/>
    <cellStyle name="Comma 2 2 5 2 9" xfId="1963"/>
    <cellStyle name="Comma 2 2 5 2 9 2" xfId="35888"/>
    <cellStyle name="Comma 2 2 5 3" xfId="1964"/>
    <cellStyle name="Comma 2 2 5 3 2" xfId="1965"/>
    <cellStyle name="Comma 2 2 5 3 2 2" xfId="1966"/>
    <cellStyle name="Comma 2 2 5 3 2 2 2" xfId="1967"/>
    <cellStyle name="Comma 2 2 5 3 2 2 2 2" xfId="1968"/>
    <cellStyle name="Comma 2 2 5 3 2 2 2 2 2" xfId="1969"/>
    <cellStyle name="Comma 2 2 5 3 2 2 2 2 3" xfId="1970"/>
    <cellStyle name="Comma 2 2 5 3 2 2 2 3" xfId="1971"/>
    <cellStyle name="Comma 2 2 5 3 2 2 2 3 2" xfId="1972"/>
    <cellStyle name="Comma 2 2 5 3 2 2 2 4" xfId="1973"/>
    <cellStyle name="Comma 2 2 5 3 2 2 3" xfId="1974"/>
    <cellStyle name="Comma 2 2 5 3 2 2 3 2" xfId="1975"/>
    <cellStyle name="Comma 2 2 5 3 2 2 3 2 2" xfId="1976"/>
    <cellStyle name="Comma 2 2 5 3 2 2 3 3" xfId="1977"/>
    <cellStyle name="Comma 2 2 5 3 2 2 4" xfId="1978"/>
    <cellStyle name="Comma 2 2 5 3 2 2 4 2" xfId="1979"/>
    <cellStyle name="Comma 2 2 5 3 2 2 4 3" xfId="1980"/>
    <cellStyle name="Comma 2 2 5 3 2 2 5" xfId="1981"/>
    <cellStyle name="Comma 2 2 5 3 2 2 5 2" xfId="1982"/>
    <cellStyle name="Comma 2 2 5 3 2 2 6" xfId="1983"/>
    <cellStyle name="Comma 2 2 5 3 2 2 6 2" xfId="35889"/>
    <cellStyle name="Comma 2 2 5 3 2 2 7" xfId="1984"/>
    <cellStyle name="Comma 2 2 5 3 2 3" xfId="1985"/>
    <cellStyle name="Comma 2 2 5 3 2 3 2" xfId="1986"/>
    <cellStyle name="Comma 2 2 5 3 2 3 2 2" xfId="1987"/>
    <cellStyle name="Comma 2 2 5 3 2 3 2 2 2" xfId="1988"/>
    <cellStyle name="Comma 2 2 5 3 2 3 2 3" xfId="1989"/>
    <cellStyle name="Comma 2 2 5 3 2 3 3" xfId="1990"/>
    <cellStyle name="Comma 2 2 5 3 2 3 3 2" xfId="1991"/>
    <cellStyle name="Comma 2 2 5 3 2 3 4" xfId="1992"/>
    <cellStyle name="Comma 2 2 5 3 2 4" xfId="1993"/>
    <cellStyle name="Comma 2 2 5 3 2 4 2" xfId="1994"/>
    <cellStyle name="Comma 2 2 5 3 2 4 2 2" xfId="1995"/>
    <cellStyle name="Comma 2 2 5 3 2 4 3" xfId="1996"/>
    <cellStyle name="Comma 2 2 5 3 2 5" xfId="1997"/>
    <cellStyle name="Comma 2 2 5 3 2 5 2" xfId="1998"/>
    <cellStyle name="Comma 2 2 5 3 2 5 2 2" xfId="1999"/>
    <cellStyle name="Comma 2 2 5 3 2 5 3" xfId="2000"/>
    <cellStyle name="Comma 2 2 5 3 2 6" xfId="2001"/>
    <cellStyle name="Comma 2 2 5 3 2 6 2" xfId="2002"/>
    <cellStyle name="Comma 2 2 5 3 2 7" xfId="2003"/>
    <cellStyle name="Comma 2 2 5 3 2 7 2" xfId="35890"/>
    <cellStyle name="Comma 2 2 5 3 2 8" xfId="2004"/>
    <cellStyle name="Comma 2 2 5 3 3" xfId="2005"/>
    <cellStyle name="Comma 2 2 5 3 3 2" xfId="2006"/>
    <cellStyle name="Comma 2 2 5 3 3 2 2" xfId="2007"/>
    <cellStyle name="Comma 2 2 5 3 3 2 2 2" xfId="2008"/>
    <cellStyle name="Comma 2 2 5 3 3 2 2 3" xfId="2009"/>
    <cellStyle name="Comma 2 2 5 3 3 2 3" xfId="2010"/>
    <cellStyle name="Comma 2 2 5 3 3 2 3 2" xfId="2011"/>
    <cellStyle name="Comma 2 2 5 3 3 2 4" xfId="2012"/>
    <cellStyle name="Comma 2 2 5 3 3 3" xfId="2013"/>
    <cellStyle name="Comma 2 2 5 3 3 3 2" xfId="2014"/>
    <cellStyle name="Comma 2 2 5 3 3 3 2 2" xfId="2015"/>
    <cellStyle name="Comma 2 2 5 3 3 3 3" xfId="2016"/>
    <cellStyle name="Comma 2 2 5 3 3 4" xfId="2017"/>
    <cellStyle name="Comma 2 2 5 3 3 4 2" xfId="2018"/>
    <cellStyle name="Comma 2 2 5 3 3 4 3" xfId="2019"/>
    <cellStyle name="Comma 2 2 5 3 3 5" xfId="2020"/>
    <cellStyle name="Comma 2 2 5 3 3 5 2" xfId="2021"/>
    <cellStyle name="Comma 2 2 5 3 3 6" xfId="2022"/>
    <cellStyle name="Comma 2 2 5 3 3 6 2" xfId="35891"/>
    <cellStyle name="Comma 2 2 5 3 3 7" xfId="2023"/>
    <cellStyle name="Comma 2 2 5 3 4" xfId="2024"/>
    <cellStyle name="Comma 2 2 5 3 4 2" xfId="2025"/>
    <cellStyle name="Comma 2 2 5 3 4 2 2" xfId="2026"/>
    <cellStyle name="Comma 2 2 5 3 4 2 2 2" xfId="2027"/>
    <cellStyle name="Comma 2 2 5 3 4 2 3" xfId="2028"/>
    <cellStyle name="Comma 2 2 5 3 4 3" xfId="2029"/>
    <cellStyle name="Comma 2 2 5 3 4 3 2" xfId="2030"/>
    <cellStyle name="Comma 2 2 5 3 4 4" xfId="2031"/>
    <cellStyle name="Comma 2 2 5 3 5" xfId="2032"/>
    <cellStyle name="Comma 2 2 5 3 5 2" xfId="2033"/>
    <cellStyle name="Comma 2 2 5 3 5 2 2" xfId="2034"/>
    <cellStyle name="Comma 2 2 5 3 5 3" xfId="2035"/>
    <cellStyle name="Comma 2 2 5 3 6" xfId="2036"/>
    <cellStyle name="Comma 2 2 5 3 6 2" xfId="2037"/>
    <cellStyle name="Comma 2 2 5 3 6 2 2" xfId="2038"/>
    <cellStyle name="Comma 2 2 5 3 6 3" xfId="2039"/>
    <cellStyle name="Comma 2 2 5 3 7" xfId="2040"/>
    <cellStyle name="Comma 2 2 5 3 7 2" xfId="2041"/>
    <cellStyle name="Comma 2 2 5 3 8" xfId="2042"/>
    <cellStyle name="Comma 2 2 5 3 8 2" xfId="35892"/>
    <cellStyle name="Comma 2 2 5 3 9" xfId="2043"/>
    <cellStyle name="Comma 2 2 5 4" xfId="2044"/>
    <cellStyle name="Comma 2 2 5 4 2" xfId="2045"/>
    <cellStyle name="Comma 2 2 5 4 2 2" xfId="2046"/>
    <cellStyle name="Comma 2 2 5 4 2 2 2" xfId="2047"/>
    <cellStyle name="Comma 2 2 5 4 2 2 2 2" xfId="2048"/>
    <cellStyle name="Comma 2 2 5 4 2 2 2 3" xfId="2049"/>
    <cellStyle name="Comma 2 2 5 4 2 2 3" xfId="2050"/>
    <cellStyle name="Comma 2 2 5 4 2 2 3 2" xfId="2051"/>
    <cellStyle name="Comma 2 2 5 4 2 2 4" xfId="2052"/>
    <cellStyle name="Comma 2 2 5 4 2 3" xfId="2053"/>
    <cellStyle name="Comma 2 2 5 4 2 3 2" xfId="2054"/>
    <cellStyle name="Comma 2 2 5 4 2 3 2 2" xfId="2055"/>
    <cellStyle name="Comma 2 2 5 4 2 3 3" xfId="2056"/>
    <cellStyle name="Comma 2 2 5 4 2 4" xfId="2057"/>
    <cellStyle name="Comma 2 2 5 4 2 4 2" xfId="2058"/>
    <cellStyle name="Comma 2 2 5 4 2 4 3" xfId="2059"/>
    <cellStyle name="Comma 2 2 5 4 2 5" xfId="2060"/>
    <cellStyle name="Comma 2 2 5 4 2 5 2" xfId="2061"/>
    <cellStyle name="Comma 2 2 5 4 2 6" xfId="2062"/>
    <cellStyle name="Comma 2 2 5 4 2 6 2" xfId="35893"/>
    <cellStyle name="Comma 2 2 5 4 2 7" xfId="2063"/>
    <cellStyle name="Comma 2 2 5 4 3" xfId="2064"/>
    <cellStyle name="Comma 2 2 5 4 3 2" xfId="2065"/>
    <cellStyle name="Comma 2 2 5 4 3 2 2" xfId="2066"/>
    <cellStyle name="Comma 2 2 5 4 3 2 2 2" xfId="2067"/>
    <cellStyle name="Comma 2 2 5 4 3 2 3" xfId="2068"/>
    <cellStyle name="Comma 2 2 5 4 3 3" xfId="2069"/>
    <cellStyle name="Comma 2 2 5 4 3 3 2" xfId="2070"/>
    <cellStyle name="Comma 2 2 5 4 3 4" xfId="2071"/>
    <cellStyle name="Comma 2 2 5 4 4" xfId="2072"/>
    <cellStyle name="Comma 2 2 5 4 4 2" xfId="2073"/>
    <cellStyle name="Comma 2 2 5 4 4 2 2" xfId="2074"/>
    <cellStyle name="Comma 2 2 5 4 4 3" xfId="2075"/>
    <cellStyle name="Comma 2 2 5 4 5" xfId="2076"/>
    <cellStyle name="Comma 2 2 5 4 5 2" xfId="2077"/>
    <cellStyle name="Comma 2 2 5 4 5 2 2" xfId="2078"/>
    <cellStyle name="Comma 2 2 5 4 5 3" xfId="2079"/>
    <cellStyle name="Comma 2 2 5 4 6" xfId="2080"/>
    <cellStyle name="Comma 2 2 5 4 6 2" xfId="2081"/>
    <cellStyle name="Comma 2 2 5 4 7" xfId="2082"/>
    <cellStyle name="Comma 2 2 5 4 7 2" xfId="35894"/>
    <cellStyle name="Comma 2 2 5 4 8" xfId="2083"/>
    <cellStyle name="Comma 2 2 5 5" xfId="2084"/>
    <cellStyle name="Comma 2 2 5 5 2" xfId="2085"/>
    <cellStyle name="Comma 2 2 5 5 2 2" xfId="2086"/>
    <cellStyle name="Comma 2 2 5 5 2 2 2" xfId="2087"/>
    <cellStyle name="Comma 2 2 5 5 2 2 2 2" xfId="2088"/>
    <cellStyle name="Comma 2 2 5 5 2 2 2 3" xfId="2089"/>
    <cellStyle name="Comma 2 2 5 5 2 2 3" xfId="2090"/>
    <cellStyle name="Comma 2 2 5 5 2 2 3 2" xfId="2091"/>
    <cellStyle name="Comma 2 2 5 5 2 2 4" xfId="2092"/>
    <cellStyle name="Comma 2 2 5 5 2 3" xfId="2093"/>
    <cellStyle name="Comma 2 2 5 5 2 3 2" xfId="2094"/>
    <cellStyle name="Comma 2 2 5 5 2 3 2 2" xfId="2095"/>
    <cellStyle name="Comma 2 2 5 5 2 3 3" xfId="2096"/>
    <cellStyle name="Comma 2 2 5 5 2 4" xfId="2097"/>
    <cellStyle name="Comma 2 2 5 5 2 4 2" xfId="2098"/>
    <cellStyle name="Comma 2 2 5 5 2 4 3" xfId="2099"/>
    <cellStyle name="Comma 2 2 5 5 2 5" xfId="2100"/>
    <cellStyle name="Comma 2 2 5 5 2 5 2" xfId="2101"/>
    <cellStyle name="Comma 2 2 5 5 2 6" xfId="2102"/>
    <cellStyle name="Comma 2 2 5 5 2 6 2" xfId="35895"/>
    <cellStyle name="Comma 2 2 5 5 2 7" xfId="2103"/>
    <cellStyle name="Comma 2 2 5 5 3" xfId="2104"/>
    <cellStyle name="Comma 2 2 5 5 3 2" xfId="2105"/>
    <cellStyle name="Comma 2 2 5 5 3 2 2" xfId="2106"/>
    <cellStyle name="Comma 2 2 5 5 3 2 2 2" xfId="2107"/>
    <cellStyle name="Comma 2 2 5 5 3 2 3" xfId="2108"/>
    <cellStyle name="Comma 2 2 5 5 3 3" xfId="2109"/>
    <cellStyle name="Comma 2 2 5 5 3 3 2" xfId="2110"/>
    <cellStyle name="Comma 2 2 5 5 3 4" xfId="2111"/>
    <cellStyle name="Comma 2 2 5 5 4" xfId="2112"/>
    <cellStyle name="Comma 2 2 5 5 4 2" xfId="2113"/>
    <cellStyle name="Comma 2 2 5 5 4 2 2" xfId="2114"/>
    <cellStyle name="Comma 2 2 5 5 4 3" xfId="2115"/>
    <cellStyle name="Comma 2 2 5 5 5" xfId="2116"/>
    <cellStyle name="Comma 2 2 5 5 5 2" xfId="2117"/>
    <cellStyle name="Comma 2 2 5 5 5 2 2" xfId="2118"/>
    <cellStyle name="Comma 2 2 5 5 5 3" xfId="2119"/>
    <cellStyle name="Comma 2 2 5 5 6" xfId="2120"/>
    <cellStyle name="Comma 2 2 5 5 6 2" xfId="2121"/>
    <cellStyle name="Comma 2 2 5 5 7" xfId="2122"/>
    <cellStyle name="Comma 2 2 5 5 7 2" xfId="35896"/>
    <cellStyle name="Comma 2 2 5 5 8" xfId="2123"/>
    <cellStyle name="Comma 2 2 5 6" xfId="2124"/>
    <cellStyle name="Comma 2 2 5 6 2" xfId="2125"/>
    <cellStyle name="Comma 2 2 5 6 2 2" xfId="2126"/>
    <cellStyle name="Comma 2 2 5 6 2 2 2" xfId="2127"/>
    <cellStyle name="Comma 2 2 5 6 2 2 3" xfId="2128"/>
    <cellStyle name="Comma 2 2 5 6 2 3" xfId="2129"/>
    <cellStyle name="Comma 2 2 5 6 2 3 2" xfId="2130"/>
    <cellStyle name="Comma 2 2 5 6 2 4" xfId="2131"/>
    <cellStyle name="Comma 2 2 5 6 3" xfId="2132"/>
    <cellStyle name="Comma 2 2 5 6 3 2" xfId="2133"/>
    <cellStyle name="Comma 2 2 5 6 3 2 2" xfId="2134"/>
    <cellStyle name="Comma 2 2 5 6 3 3" xfId="2135"/>
    <cellStyle name="Comma 2 2 5 6 4" xfId="2136"/>
    <cellStyle name="Comma 2 2 5 6 4 2" xfId="2137"/>
    <cellStyle name="Comma 2 2 5 6 4 3" xfId="2138"/>
    <cellStyle name="Comma 2 2 5 6 5" xfId="2139"/>
    <cellStyle name="Comma 2 2 5 6 5 2" xfId="2140"/>
    <cellStyle name="Comma 2 2 5 6 6" xfId="2141"/>
    <cellStyle name="Comma 2 2 5 6 6 2" xfId="35897"/>
    <cellStyle name="Comma 2 2 5 6 7" xfId="2142"/>
    <cellStyle name="Comma 2 2 5 7" xfId="2143"/>
    <cellStyle name="Comma 2 2 5 7 2" xfId="2144"/>
    <cellStyle name="Comma 2 2 5 7 2 2" xfId="2145"/>
    <cellStyle name="Comma 2 2 5 7 2 2 2" xfId="2146"/>
    <cellStyle name="Comma 2 2 5 7 2 3" xfId="2147"/>
    <cellStyle name="Comma 2 2 5 7 3" xfId="2148"/>
    <cellStyle name="Comma 2 2 5 7 3 2" xfId="2149"/>
    <cellStyle name="Comma 2 2 5 7 4" xfId="2150"/>
    <cellStyle name="Comma 2 2 5 8" xfId="2151"/>
    <cellStyle name="Comma 2 2 5 8 2" xfId="2152"/>
    <cellStyle name="Comma 2 2 5 8 2 2" xfId="2153"/>
    <cellStyle name="Comma 2 2 5 8 3" xfId="2154"/>
    <cellStyle name="Comma 2 2 5 9" xfId="2155"/>
    <cellStyle name="Comma 2 2 5 9 2" xfId="2156"/>
    <cellStyle name="Comma 2 2 5 9 2 2" xfId="2157"/>
    <cellStyle name="Comma 2 2 5 9 3" xfId="2158"/>
    <cellStyle name="Comma 2 2 6" xfId="2159"/>
    <cellStyle name="Comma 2 2 6 10" xfId="2160"/>
    <cellStyle name="Comma 2 2 6 2" xfId="2161"/>
    <cellStyle name="Comma 2 2 6 2 2" xfId="2162"/>
    <cellStyle name="Comma 2 2 6 2 2 2" xfId="2163"/>
    <cellStyle name="Comma 2 2 6 2 2 2 2" xfId="2164"/>
    <cellStyle name="Comma 2 2 6 2 2 2 2 2" xfId="2165"/>
    <cellStyle name="Comma 2 2 6 2 2 2 2 2 2" xfId="2166"/>
    <cellStyle name="Comma 2 2 6 2 2 2 2 2 3" xfId="2167"/>
    <cellStyle name="Comma 2 2 6 2 2 2 2 3" xfId="2168"/>
    <cellStyle name="Comma 2 2 6 2 2 2 2 3 2" xfId="2169"/>
    <cellStyle name="Comma 2 2 6 2 2 2 2 4" xfId="2170"/>
    <cellStyle name="Comma 2 2 6 2 2 2 3" xfId="2171"/>
    <cellStyle name="Comma 2 2 6 2 2 2 3 2" xfId="2172"/>
    <cellStyle name="Comma 2 2 6 2 2 2 3 2 2" xfId="2173"/>
    <cellStyle name="Comma 2 2 6 2 2 2 3 3" xfId="2174"/>
    <cellStyle name="Comma 2 2 6 2 2 2 4" xfId="2175"/>
    <cellStyle name="Comma 2 2 6 2 2 2 4 2" xfId="2176"/>
    <cellStyle name="Comma 2 2 6 2 2 2 4 3" xfId="2177"/>
    <cellStyle name="Comma 2 2 6 2 2 2 5" xfId="2178"/>
    <cellStyle name="Comma 2 2 6 2 2 2 5 2" xfId="2179"/>
    <cellStyle name="Comma 2 2 6 2 2 2 6" xfId="2180"/>
    <cellStyle name="Comma 2 2 6 2 2 2 6 2" xfId="35898"/>
    <cellStyle name="Comma 2 2 6 2 2 2 7" xfId="2181"/>
    <cellStyle name="Comma 2 2 6 2 2 3" xfId="2182"/>
    <cellStyle name="Comma 2 2 6 2 2 3 2" xfId="2183"/>
    <cellStyle name="Comma 2 2 6 2 2 3 2 2" xfId="2184"/>
    <cellStyle name="Comma 2 2 6 2 2 3 2 2 2" xfId="2185"/>
    <cellStyle name="Comma 2 2 6 2 2 3 2 3" xfId="2186"/>
    <cellStyle name="Comma 2 2 6 2 2 3 3" xfId="2187"/>
    <cellStyle name="Comma 2 2 6 2 2 3 3 2" xfId="2188"/>
    <cellStyle name="Comma 2 2 6 2 2 3 4" xfId="2189"/>
    <cellStyle name="Comma 2 2 6 2 2 4" xfId="2190"/>
    <cellStyle name="Comma 2 2 6 2 2 4 2" xfId="2191"/>
    <cellStyle name="Comma 2 2 6 2 2 4 2 2" xfId="2192"/>
    <cellStyle name="Comma 2 2 6 2 2 4 3" xfId="2193"/>
    <cellStyle name="Comma 2 2 6 2 2 5" xfId="2194"/>
    <cellStyle name="Comma 2 2 6 2 2 5 2" xfId="2195"/>
    <cellStyle name="Comma 2 2 6 2 2 5 2 2" xfId="2196"/>
    <cellStyle name="Comma 2 2 6 2 2 5 3" xfId="2197"/>
    <cellStyle name="Comma 2 2 6 2 2 6" xfId="2198"/>
    <cellStyle name="Comma 2 2 6 2 2 6 2" xfId="2199"/>
    <cellStyle name="Comma 2 2 6 2 2 7" xfId="2200"/>
    <cellStyle name="Comma 2 2 6 2 2 7 2" xfId="35899"/>
    <cellStyle name="Comma 2 2 6 2 2 8" xfId="2201"/>
    <cellStyle name="Comma 2 2 6 2 3" xfId="2202"/>
    <cellStyle name="Comma 2 2 6 2 3 2" xfId="2203"/>
    <cellStyle name="Comma 2 2 6 2 3 2 2" xfId="2204"/>
    <cellStyle name="Comma 2 2 6 2 3 2 2 2" xfId="2205"/>
    <cellStyle name="Comma 2 2 6 2 3 2 2 3" xfId="2206"/>
    <cellStyle name="Comma 2 2 6 2 3 2 3" xfId="2207"/>
    <cellStyle name="Comma 2 2 6 2 3 2 3 2" xfId="2208"/>
    <cellStyle name="Comma 2 2 6 2 3 2 4" xfId="2209"/>
    <cellStyle name="Comma 2 2 6 2 3 3" xfId="2210"/>
    <cellStyle name="Comma 2 2 6 2 3 3 2" xfId="2211"/>
    <cellStyle name="Comma 2 2 6 2 3 3 2 2" xfId="2212"/>
    <cellStyle name="Comma 2 2 6 2 3 3 3" xfId="2213"/>
    <cellStyle name="Comma 2 2 6 2 3 4" xfId="2214"/>
    <cellStyle name="Comma 2 2 6 2 3 4 2" xfId="2215"/>
    <cellStyle name="Comma 2 2 6 2 3 4 3" xfId="2216"/>
    <cellStyle name="Comma 2 2 6 2 3 5" xfId="2217"/>
    <cellStyle name="Comma 2 2 6 2 3 5 2" xfId="2218"/>
    <cellStyle name="Comma 2 2 6 2 3 6" xfId="2219"/>
    <cellStyle name="Comma 2 2 6 2 3 6 2" xfId="35900"/>
    <cellStyle name="Comma 2 2 6 2 3 7" xfId="2220"/>
    <cellStyle name="Comma 2 2 6 2 4" xfId="2221"/>
    <cellStyle name="Comma 2 2 6 2 4 2" xfId="2222"/>
    <cellStyle name="Comma 2 2 6 2 4 2 2" xfId="2223"/>
    <cellStyle name="Comma 2 2 6 2 4 2 2 2" xfId="2224"/>
    <cellStyle name="Comma 2 2 6 2 4 2 3" xfId="2225"/>
    <cellStyle name="Comma 2 2 6 2 4 3" xfId="2226"/>
    <cellStyle name="Comma 2 2 6 2 4 3 2" xfId="2227"/>
    <cellStyle name="Comma 2 2 6 2 4 4" xfId="2228"/>
    <cellStyle name="Comma 2 2 6 2 5" xfId="2229"/>
    <cellStyle name="Comma 2 2 6 2 5 2" xfId="2230"/>
    <cellStyle name="Comma 2 2 6 2 5 2 2" xfId="2231"/>
    <cellStyle name="Comma 2 2 6 2 5 3" xfId="2232"/>
    <cellStyle name="Comma 2 2 6 2 6" xfId="2233"/>
    <cellStyle name="Comma 2 2 6 2 6 2" xfId="2234"/>
    <cellStyle name="Comma 2 2 6 2 6 2 2" xfId="2235"/>
    <cellStyle name="Comma 2 2 6 2 6 3" xfId="2236"/>
    <cellStyle name="Comma 2 2 6 2 7" xfId="2237"/>
    <cellStyle name="Comma 2 2 6 2 7 2" xfId="2238"/>
    <cellStyle name="Comma 2 2 6 2 8" xfId="2239"/>
    <cellStyle name="Comma 2 2 6 2 8 2" xfId="35901"/>
    <cellStyle name="Comma 2 2 6 2 9" xfId="2240"/>
    <cellStyle name="Comma 2 2 6 3" xfId="2241"/>
    <cellStyle name="Comma 2 2 6 3 2" xfId="2242"/>
    <cellStyle name="Comma 2 2 6 3 2 2" xfId="2243"/>
    <cellStyle name="Comma 2 2 6 3 2 2 2" xfId="2244"/>
    <cellStyle name="Comma 2 2 6 3 2 2 2 2" xfId="2245"/>
    <cellStyle name="Comma 2 2 6 3 2 2 2 3" xfId="2246"/>
    <cellStyle name="Comma 2 2 6 3 2 2 3" xfId="2247"/>
    <cellStyle name="Comma 2 2 6 3 2 2 3 2" xfId="2248"/>
    <cellStyle name="Comma 2 2 6 3 2 2 4" xfId="2249"/>
    <cellStyle name="Comma 2 2 6 3 2 3" xfId="2250"/>
    <cellStyle name="Comma 2 2 6 3 2 3 2" xfId="2251"/>
    <cellStyle name="Comma 2 2 6 3 2 3 2 2" xfId="2252"/>
    <cellStyle name="Comma 2 2 6 3 2 3 3" xfId="2253"/>
    <cellStyle name="Comma 2 2 6 3 2 4" xfId="2254"/>
    <cellStyle name="Comma 2 2 6 3 2 4 2" xfId="2255"/>
    <cellStyle name="Comma 2 2 6 3 2 4 3" xfId="2256"/>
    <cellStyle name="Comma 2 2 6 3 2 5" xfId="2257"/>
    <cellStyle name="Comma 2 2 6 3 2 5 2" xfId="2258"/>
    <cellStyle name="Comma 2 2 6 3 2 6" xfId="2259"/>
    <cellStyle name="Comma 2 2 6 3 2 6 2" xfId="35902"/>
    <cellStyle name="Comma 2 2 6 3 2 7" xfId="2260"/>
    <cellStyle name="Comma 2 2 6 3 3" xfId="2261"/>
    <cellStyle name="Comma 2 2 6 3 3 2" xfId="2262"/>
    <cellStyle name="Comma 2 2 6 3 3 2 2" xfId="2263"/>
    <cellStyle name="Comma 2 2 6 3 3 2 2 2" xfId="2264"/>
    <cellStyle name="Comma 2 2 6 3 3 2 3" xfId="2265"/>
    <cellStyle name="Comma 2 2 6 3 3 3" xfId="2266"/>
    <cellStyle name="Comma 2 2 6 3 3 3 2" xfId="2267"/>
    <cellStyle name="Comma 2 2 6 3 3 4" xfId="2268"/>
    <cellStyle name="Comma 2 2 6 3 4" xfId="2269"/>
    <cellStyle name="Comma 2 2 6 3 4 2" xfId="2270"/>
    <cellStyle name="Comma 2 2 6 3 4 2 2" xfId="2271"/>
    <cellStyle name="Comma 2 2 6 3 4 3" xfId="2272"/>
    <cellStyle name="Comma 2 2 6 3 5" xfId="2273"/>
    <cellStyle name="Comma 2 2 6 3 5 2" xfId="2274"/>
    <cellStyle name="Comma 2 2 6 3 5 2 2" xfId="2275"/>
    <cellStyle name="Comma 2 2 6 3 5 3" xfId="2276"/>
    <cellStyle name="Comma 2 2 6 3 6" xfId="2277"/>
    <cellStyle name="Comma 2 2 6 3 6 2" xfId="2278"/>
    <cellStyle name="Comma 2 2 6 3 7" xfId="2279"/>
    <cellStyle name="Comma 2 2 6 3 7 2" xfId="35903"/>
    <cellStyle name="Comma 2 2 6 3 8" xfId="2280"/>
    <cellStyle name="Comma 2 2 6 4" xfId="2281"/>
    <cellStyle name="Comma 2 2 6 4 2" xfId="2282"/>
    <cellStyle name="Comma 2 2 6 4 2 2" xfId="2283"/>
    <cellStyle name="Comma 2 2 6 4 2 2 2" xfId="2284"/>
    <cellStyle name="Comma 2 2 6 4 2 2 3" xfId="2285"/>
    <cellStyle name="Comma 2 2 6 4 2 3" xfId="2286"/>
    <cellStyle name="Comma 2 2 6 4 2 3 2" xfId="2287"/>
    <cellStyle name="Comma 2 2 6 4 2 4" xfId="2288"/>
    <cellStyle name="Comma 2 2 6 4 3" xfId="2289"/>
    <cellStyle name="Comma 2 2 6 4 3 2" xfId="2290"/>
    <cellStyle name="Comma 2 2 6 4 3 2 2" xfId="2291"/>
    <cellStyle name="Comma 2 2 6 4 3 3" xfId="2292"/>
    <cellStyle name="Comma 2 2 6 4 4" xfId="2293"/>
    <cellStyle name="Comma 2 2 6 4 4 2" xfId="2294"/>
    <cellStyle name="Comma 2 2 6 4 4 3" xfId="2295"/>
    <cellStyle name="Comma 2 2 6 4 5" xfId="2296"/>
    <cellStyle name="Comma 2 2 6 4 5 2" xfId="2297"/>
    <cellStyle name="Comma 2 2 6 4 6" xfId="2298"/>
    <cellStyle name="Comma 2 2 6 4 6 2" xfId="35904"/>
    <cellStyle name="Comma 2 2 6 4 7" xfId="2299"/>
    <cellStyle name="Comma 2 2 6 5" xfId="2300"/>
    <cellStyle name="Comma 2 2 6 5 2" xfId="2301"/>
    <cellStyle name="Comma 2 2 6 5 2 2" xfId="2302"/>
    <cellStyle name="Comma 2 2 6 5 2 2 2" xfId="2303"/>
    <cellStyle name="Comma 2 2 6 5 2 3" xfId="2304"/>
    <cellStyle name="Comma 2 2 6 5 3" xfId="2305"/>
    <cellStyle name="Comma 2 2 6 5 3 2" xfId="2306"/>
    <cellStyle name="Comma 2 2 6 5 4" xfId="2307"/>
    <cellStyle name="Comma 2 2 6 6" xfId="2308"/>
    <cellStyle name="Comma 2 2 6 6 2" xfId="2309"/>
    <cellStyle name="Comma 2 2 6 6 2 2" xfId="2310"/>
    <cellStyle name="Comma 2 2 6 6 3" xfId="2311"/>
    <cellStyle name="Comma 2 2 6 7" xfId="2312"/>
    <cellStyle name="Comma 2 2 6 7 2" xfId="2313"/>
    <cellStyle name="Comma 2 2 6 7 2 2" xfId="2314"/>
    <cellStyle name="Comma 2 2 6 7 3" xfId="2315"/>
    <cellStyle name="Comma 2 2 6 8" xfId="2316"/>
    <cellStyle name="Comma 2 2 6 8 2" xfId="2317"/>
    <cellStyle name="Comma 2 2 6 9" xfId="2318"/>
    <cellStyle name="Comma 2 2 6 9 2" xfId="35905"/>
    <cellStyle name="Comma 2 2 7" xfId="2319"/>
    <cellStyle name="Comma 2 2 7 2" xfId="2320"/>
    <cellStyle name="Comma 2 2 7 2 2" xfId="2321"/>
    <cellStyle name="Comma 2 2 7 2 2 2" xfId="2322"/>
    <cellStyle name="Comma 2 2 7 2 2 2 2" xfId="2323"/>
    <cellStyle name="Comma 2 2 7 2 2 2 2 2" xfId="2324"/>
    <cellStyle name="Comma 2 2 7 2 2 2 2 3" xfId="2325"/>
    <cellStyle name="Comma 2 2 7 2 2 2 3" xfId="2326"/>
    <cellStyle name="Comma 2 2 7 2 2 2 3 2" xfId="2327"/>
    <cellStyle name="Comma 2 2 7 2 2 2 4" xfId="2328"/>
    <cellStyle name="Comma 2 2 7 2 2 3" xfId="2329"/>
    <cellStyle name="Comma 2 2 7 2 2 3 2" xfId="2330"/>
    <cellStyle name="Comma 2 2 7 2 2 3 2 2" xfId="2331"/>
    <cellStyle name="Comma 2 2 7 2 2 3 3" xfId="2332"/>
    <cellStyle name="Comma 2 2 7 2 2 4" xfId="2333"/>
    <cellStyle name="Comma 2 2 7 2 2 4 2" xfId="2334"/>
    <cellStyle name="Comma 2 2 7 2 2 4 3" xfId="2335"/>
    <cellStyle name="Comma 2 2 7 2 2 5" xfId="2336"/>
    <cellStyle name="Comma 2 2 7 2 2 5 2" xfId="2337"/>
    <cellStyle name="Comma 2 2 7 2 2 6" xfId="2338"/>
    <cellStyle name="Comma 2 2 7 2 2 6 2" xfId="35906"/>
    <cellStyle name="Comma 2 2 7 2 2 7" xfId="2339"/>
    <cellStyle name="Comma 2 2 7 2 3" xfId="2340"/>
    <cellStyle name="Comma 2 2 7 2 3 2" xfId="2341"/>
    <cellStyle name="Comma 2 2 7 2 3 2 2" xfId="2342"/>
    <cellStyle name="Comma 2 2 7 2 3 2 2 2" xfId="2343"/>
    <cellStyle name="Comma 2 2 7 2 3 2 3" xfId="2344"/>
    <cellStyle name="Comma 2 2 7 2 3 3" xfId="2345"/>
    <cellStyle name="Comma 2 2 7 2 3 3 2" xfId="2346"/>
    <cellStyle name="Comma 2 2 7 2 3 4" xfId="2347"/>
    <cellStyle name="Comma 2 2 7 2 4" xfId="2348"/>
    <cellStyle name="Comma 2 2 7 2 4 2" xfId="2349"/>
    <cellStyle name="Comma 2 2 7 2 4 2 2" xfId="2350"/>
    <cellStyle name="Comma 2 2 7 2 4 3" xfId="2351"/>
    <cellStyle name="Comma 2 2 7 2 5" xfId="2352"/>
    <cellStyle name="Comma 2 2 7 2 5 2" xfId="2353"/>
    <cellStyle name="Comma 2 2 7 2 5 2 2" xfId="2354"/>
    <cellStyle name="Comma 2 2 7 2 5 3" xfId="2355"/>
    <cellStyle name="Comma 2 2 7 2 6" xfId="2356"/>
    <cellStyle name="Comma 2 2 7 2 6 2" xfId="2357"/>
    <cellStyle name="Comma 2 2 7 2 7" xfId="2358"/>
    <cellStyle name="Comma 2 2 7 2 7 2" xfId="35907"/>
    <cellStyle name="Comma 2 2 7 2 8" xfId="2359"/>
    <cellStyle name="Comma 2 2 7 3" xfId="2360"/>
    <cellStyle name="Comma 2 2 7 3 2" xfId="2361"/>
    <cellStyle name="Comma 2 2 7 3 2 2" xfId="2362"/>
    <cellStyle name="Comma 2 2 7 3 2 2 2" xfId="2363"/>
    <cellStyle name="Comma 2 2 7 3 2 2 3" xfId="2364"/>
    <cellStyle name="Comma 2 2 7 3 2 3" xfId="2365"/>
    <cellStyle name="Comma 2 2 7 3 2 3 2" xfId="2366"/>
    <cellStyle name="Comma 2 2 7 3 2 4" xfId="2367"/>
    <cellStyle name="Comma 2 2 7 3 3" xfId="2368"/>
    <cellStyle name="Comma 2 2 7 3 3 2" xfId="2369"/>
    <cellStyle name="Comma 2 2 7 3 3 2 2" xfId="2370"/>
    <cellStyle name="Comma 2 2 7 3 3 3" xfId="2371"/>
    <cellStyle name="Comma 2 2 7 3 4" xfId="2372"/>
    <cellStyle name="Comma 2 2 7 3 4 2" xfId="2373"/>
    <cellStyle name="Comma 2 2 7 3 4 3" xfId="2374"/>
    <cellStyle name="Comma 2 2 7 3 5" xfId="2375"/>
    <cellStyle name="Comma 2 2 7 3 5 2" xfId="2376"/>
    <cellStyle name="Comma 2 2 7 3 6" xfId="2377"/>
    <cellStyle name="Comma 2 2 7 3 6 2" xfId="35908"/>
    <cellStyle name="Comma 2 2 7 3 7" xfId="2378"/>
    <cellStyle name="Comma 2 2 7 4" xfId="2379"/>
    <cellStyle name="Comma 2 2 7 4 2" xfId="2380"/>
    <cellStyle name="Comma 2 2 7 4 2 2" xfId="2381"/>
    <cellStyle name="Comma 2 2 7 4 2 2 2" xfId="2382"/>
    <cellStyle name="Comma 2 2 7 4 2 3" xfId="2383"/>
    <cellStyle name="Comma 2 2 7 4 3" xfId="2384"/>
    <cellStyle name="Comma 2 2 7 4 3 2" xfId="2385"/>
    <cellStyle name="Comma 2 2 7 4 4" xfId="2386"/>
    <cellStyle name="Comma 2 2 7 5" xfId="2387"/>
    <cellStyle name="Comma 2 2 7 5 2" xfId="2388"/>
    <cellStyle name="Comma 2 2 7 5 2 2" xfId="2389"/>
    <cellStyle name="Comma 2 2 7 5 3" xfId="2390"/>
    <cellStyle name="Comma 2 2 7 6" xfId="2391"/>
    <cellStyle name="Comma 2 2 7 6 2" xfId="2392"/>
    <cellStyle name="Comma 2 2 7 6 2 2" xfId="2393"/>
    <cellStyle name="Comma 2 2 7 6 3" xfId="2394"/>
    <cellStyle name="Comma 2 2 7 7" xfId="2395"/>
    <cellStyle name="Comma 2 2 7 7 2" xfId="2396"/>
    <cellStyle name="Comma 2 2 7 8" xfId="2397"/>
    <cellStyle name="Comma 2 2 7 8 2" xfId="35909"/>
    <cellStyle name="Comma 2 2 7 9" xfId="2398"/>
    <cellStyle name="Comma 2 2 8" xfId="2399"/>
    <cellStyle name="Comma 2 2 8 2" xfId="2400"/>
    <cellStyle name="Comma 2 2 8 2 2" xfId="2401"/>
    <cellStyle name="Comma 2 2 8 2 2 2" xfId="2402"/>
    <cellStyle name="Comma 2 2 8 2 2 2 2" xfId="2403"/>
    <cellStyle name="Comma 2 2 8 2 2 2 2 2" xfId="2404"/>
    <cellStyle name="Comma 2 2 8 2 2 2 2 3" xfId="2405"/>
    <cellStyle name="Comma 2 2 8 2 2 2 3" xfId="2406"/>
    <cellStyle name="Comma 2 2 8 2 2 2 3 2" xfId="2407"/>
    <cellStyle name="Comma 2 2 8 2 2 2 4" xfId="2408"/>
    <cellStyle name="Comma 2 2 8 2 2 3" xfId="2409"/>
    <cellStyle name="Comma 2 2 8 2 2 3 2" xfId="2410"/>
    <cellStyle name="Comma 2 2 8 2 2 3 2 2" xfId="2411"/>
    <cellStyle name="Comma 2 2 8 2 2 3 3" xfId="2412"/>
    <cellStyle name="Comma 2 2 8 2 2 4" xfId="2413"/>
    <cellStyle name="Comma 2 2 8 2 2 4 2" xfId="2414"/>
    <cellStyle name="Comma 2 2 8 2 2 4 3" xfId="2415"/>
    <cellStyle name="Comma 2 2 8 2 2 5" xfId="2416"/>
    <cellStyle name="Comma 2 2 8 2 2 5 2" xfId="2417"/>
    <cellStyle name="Comma 2 2 8 2 2 6" xfId="2418"/>
    <cellStyle name="Comma 2 2 8 2 2 6 2" xfId="35910"/>
    <cellStyle name="Comma 2 2 8 2 2 7" xfId="2419"/>
    <cellStyle name="Comma 2 2 8 2 3" xfId="2420"/>
    <cellStyle name="Comma 2 2 8 2 3 2" xfId="2421"/>
    <cellStyle name="Comma 2 2 8 2 3 2 2" xfId="2422"/>
    <cellStyle name="Comma 2 2 8 2 3 2 2 2" xfId="2423"/>
    <cellStyle name="Comma 2 2 8 2 3 2 3" xfId="2424"/>
    <cellStyle name="Comma 2 2 8 2 3 3" xfId="2425"/>
    <cellStyle name="Comma 2 2 8 2 3 3 2" xfId="2426"/>
    <cellStyle name="Comma 2 2 8 2 3 4" xfId="2427"/>
    <cellStyle name="Comma 2 2 8 2 4" xfId="2428"/>
    <cellStyle name="Comma 2 2 8 2 4 2" xfId="2429"/>
    <cellStyle name="Comma 2 2 8 2 4 2 2" xfId="2430"/>
    <cellStyle name="Comma 2 2 8 2 4 3" xfId="2431"/>
    <cellStyle name="Comma 2 2 8 2 5" xfId="2432"/>
    <cellStyle name="Comma 2 2 8 2 5 2" xfId="2433"/>
    <cellStyle name="Comma 2 2 8 2 5 2 2" xfId="2434"/>
    <cellStyle name="Comma 2 2 8 2 5 3" xfId="2435"/>
    <cellStyle name="Comma 2 2 8 2 6" xfId="2436"/>
    <cellStyle name="Comma 2 2 8 2 6 2" xfId="2437"/>
    <cellStyle name="Comma 2 2 8 2 7" xfId="2438"/>
    <cellStyle name="Comma 2 2 8 2 7 2" xfId="35911"/>
    <cellStyle name="Comma 2 2 8 2 8" xfId="2439"/>
    <cellStyle name="Comma 2 2 8 3" xfId="2440"/>
    <cellStyle name="Comma 2 2 8 3 2" xfId="2441"/>
    <cellStyle name="Comma 2 2 8 3 2 2" xfId="2442"/>
    <cellStyle name="Comma 2 2 8 3 2 2 2" xfId="2443"/>
    <cellStyle name="Comma 2 2 8 3 2 2 3" xfId="2444"/>
    <cellStyle name="Comma 2 2 8 3 2 3" xfId="2445"/>
    <cellStyle name="Comma 2 2 8 3 2 3 2" xfId="2446"/>
    <cellStyle name="Comma 2 2 8 3 2 4" xfId="2447"/>
    <cellStyle name="Comma 2 2 8 3 3" xfId="2448"/>
    <cellStyle name="Comma 2 2 8 3 3 2" xfId="2449"/>
    <cellStyle name="Comma 2 2 8 3 3 2 2" xfId="2450"/>
    <cellStyle name="Comma 2 2 8 3 3 3" xfId="2451"/>
    <cellStyle name="Comma 2 2 8 3 4" xfId="2452"/>
    <cellStyle name="Comma 2 2 8 3 4 2" xfId="2453"/>
    <cellStyle name="Comma 2 2 8 3 4 3" xfId="2454"/>
    <cellStyle name="Comma 2 2 8 3 5" xfId="2455"/>
    <cellStyle name="Comma 2 2 8 3 5 2" xfId="2456"/>
    <cellStyle name="Comma 2 2 8 3 6" xfId="2457"/>
    <cellStyle name="Comma 2 2 8 3 6 2" xfId="35912"/>
    <cellStyle name="Comma 2 2 8 3 7" xfId="2458"/>
    <cellStyle name="Comma 2 2 8 4" xfId="2459"/>
    <cellStyle name="Comma 2 2 8 4 2" xfId="2460"/>
    <cellStyle name="Comma 2 2 8 4 2 2" xfId="2461"/>
    <cellStyle name="Comma 2 2 8 4 2 2 2" xfId="2462"/>
    <cellStyle name="Comma 2 2 8 4 2 3" xfId="2463"/>
    <cellStyle name="Comma 2 2 8 4 3" xfId="2464"/>
    <cellStyle name="Comma 2 2 8 4 3 2" xfId="2465"/>
    <cellStyle name="Comma 2 2 8 4 4" xfId="2466"/>
    <cellStyle name="Comma 2 2 8 5" xfId="2467"/>
    <cellStyle name="Comma 2 2 8 5 2" xfId="2468"/>
    <cellStyle name="Comma 2 2 8 5 2 2" xfId="2469"/>
    <cellStyle name="Comma 2 2 8 5 3" xfId="2470"/>
    <cellStyle name="Comma 2 2 8 6" xfId="2471"/>
    <cellStyle name="Comma 2 2 8 6 2" xfId="2472"/>
    <cellStyle name="Comma 2 2 8 6 2 2" xfId="2473"/>
    <cellStyle name="Comma 2 2 8 6 3" xfId="2474"/>
    <cellStyle name="Comma 2 2 8 7" xfId="2475"/>
    <cellStyle name="Comma 2 2 8 7 2" xfId="2476"/>
    <cellStyle name="Comma 2 2 8 8" xfId="2477"/>
    <cellStyle name="Comma 2 2 8 8 2" xfId="35913"/>
    <cellStyle name="Comma 2 2 8 9" xfId="2478"/>
    <cellStyle name="Comma 2 2 9" xfId="2479"/>
    <cellStyle name="Comma 2 2 9 2" xfId="2480"/>
    <cellStyle name="Comma 2 2 9 2 2" xfId="2481"/>
    <cellStyle name="Comma 2 2 9 2 2 2" xfId="2482"/>
    <cellStyle name="Comma 2 2 9 2 2 2 2" xfId="2483"/>
    <cellStyle name="Comma 2 2 9 2 2 2 3" xfId="2484"/>
    <cellStyle name="Comma 2 2 9 2 2 3" xfId="2485"/>
    <cellStyle name="Comma 2 2 9 2 2 3 2" xfId="2486"/>
    <cellStyle name="Comma 2 2 9 2 2 4" xfId="2487"/>
    <cellStyle name="Comma 2 2 9 2 3" xfId="2488"/>
    <cellStyle name="Comma 2 2 9 2 3 2" xfId="2489"/>
    <cellStyle name="Comma 2 2 9 2 3 2 2" xfId="2490"/>
    <cellStyle name="Comma 2 2 9 2 3 3" xfId="2491"/>
    <cellStyle name="Comma 2 2 9 2 4" xfId="2492"/>
    <cellStyle name="Comma 2 2 9 2 4 2" xfId="2493"/>
    <cellStyle name="Comma 2 2 9 2 4 3" xfId="2494"/>
    <cellStyle name="Comma 2 2 9 2 5" xfId="2495"/>
    <cellStyle name="Comma 2 2 9 2 5 2" xfId="2496"/>
    <cellStyle name="Comma 2 2 9 2 6" xfId="2497"/>
    <cellStyle name="Comma 2 2 9 2 6 2" xfId="35914"/>
    <cellStyle name="Comma 2 2 9 2 7" xfId="2498"/>
    <cellStyle name="Comma 2 2 9 3" xfId="2499"/>
    <cellStyle name="Comma 2 2 9 3 2" xfId="2500"/>
    <cellStyle name="Comma 2 2 9 3 2 2" xfId="2501"/>
    <cellStyle name="Comma 2 2 9 3 2 2 2" xfId="2502"/>
    <cellStyle name="Comma 2 2 9 3 2 3" xfId="2503"/>
    <cellStyle name="Comma 2 2 9 3 3" xfId="2504"/>
    <cellStyle name="Comma 2 2 9 3 3 2" xfId="2505"/>
    <cellStyle name="Comma 2 2 9 3 4" xfId="2506"/>
    <cellStyle name="Comma 2 2 9 4" xfId="2507"/>
    <cellStyle name="Comma 2 2 9 4 2" xfId="2508"/>
    <cellStyle name="Comma 2 2 9 4 2 2" xfId="2509"/>
    <cellStyle name="Comma 2 2 9 4 3" xfId="2510"/>
    <cellStyle name="Comma 2 2 9 5" xfId="2511"/>
    <cellStyle name="Comma 2 2 9 5 2" xfId="2512"/>
    <cellStyle name="Comma 2 2 9 5 2 2" xfId="2513"/>
    <cellStyle name="Comma 2 2 9 5 3" xfId="2514"/>
    <cellStyle name="Comma 2 2 9 6" xfId="2515"/>
    <cellStyle name="Comma 2 2 9 6 2" xfId="2516"/>
    <cellStyle name="Comma 2 2 9 7" xfId="2517"/>
    <cellStyle name="Comma 2 2 9 7 2" xfId="35915"/>
    <cellStyle name="Comma 2 2 9 8" xfId="2518"/>
    <cellStyle name="Comma 2 20" xfId="37840"/>
    <cellStyle name="Comma 2 3" xfId="2519"/>
    <cellStyle name="Comma 2 3 10" xfId="2520"/>
    <cellStyle name="Comma 2 3 10 2" xfId="2521"/>
    <cellStyle name="Comma 2 3 10 2 2" xfId="2522"/>
    <cellStyle name="Comma 2 3 10 3" xfId="2523"/>
    <cellStyle name="Comma 2 3 11" xfId="2524"/>
    <cellStyle name="Comma 2 3 11 2" xfId="2525"/>
    <cellStyle name="Comma 2 3 11 2 2" xfId="2526"/>
    <cellStyle name="Comma 2 3 11 3" xfId="2527"/>
    <cellStyle name="Comma 2 3 12" xfId="2528"/>
    <cellStyle name="Comma 2 3 12 2" xfId="2529"/>
    <cellStyle name="Comma 2 3 13" xfId="2530"/>
    <cellStyle name="Comma 2 3 13 2" xfId="35916"/>
    <cellStyle name="Comma 2 3 14" xfId="2531"/>
    <cellStyle name="Comma 2 3 2" xfId="2532"/>
    <cellStyle name="Comma 2 3 2 10" xfId="2533"/>
    <cellStyle name="Comma 2 3 2 2" xfId="2534"/>
    <cellStyle name="Comma 2 3 2 2 2" xfId="2535"/>
    <cellStyle name="Comma 2 3 2 2 2 2" xfId="2536"/>
    <cellStyle name="Comma 2 3 2 2 2 2 2" xfId="2537"/>
    <cellStyle name="Comma 2 3 2 2 2 2 2 2" xfId="2538"/>
    <cellStyle name="Comma 2 3 2 2 2 2 2 2 2" xfId="2539"/>
    <cellStyle name="Comma 2 3 2 2 2 2 2 2 3" xfId="2540"/>
    <cellStyle name="Comma 2 3 2 2 2 2 2 3" xfId="2541"/>
    <cellStyle name="Comma 2 3 2 2 2 2 2 3 2" xfId="2542"/>
    <cellStyle name="Comma 2 3 2 2 2 2 2 4" xfId="2543"/>
    <cellStyle name="Comma 2 3 2 2 2 2 3" xfId="2544"/>
    <cellStyle name="Comma 2 3 2 2 2 2 3 2" xfId="2545"/>
    <cellStyle name="Comma 2 3 2 2 2 2 3 2 2" xfId="2546"/>
    <cellStyle name="Comma 2 3 2 2 2 2 3 3" xfId="2547"/>
    <cellStyle name="Comma 2 3 2 2 2 2 4" xfId="2548"/>
    <cellStyle name="Comma 2 3 2 2 2 2 4 2" xfId="2549"/>
    <cellStyle name="Comma 2 3 2 2 2 2 4 3" xfId="2550"/>
    <cellStyle name="Comma 2 3 2 2 2 2 5" xfId="2551"/>
    <cellStyle name="Comma 2 3 2 2 2 2 5 2" xfId="2552"/>
    <cellStyle name="Comma 2 3 2 2 2 2 6" xfId="2553"/>
    <cellStyle name="Comma 2 3 2 2 2 2 6 2" xfId="35917"/>
    <cellStyle name="Comma 2 3 2 2 2 2 7" xfId="2554"/>
    <cellStyle name="Comma 2 3 2 2 2 3" xfId="2555"/>
    <cellStyle name="Comma 2 3 2 2 2 3 2" xfId="2556"/>
    <cellStyle name="Comma 2 3 2 2 2 3 2 2" xfId="2557"/>
    <cellStyle name="Comma 2 3 2 2 2 3 2 2 2" xfId="2558"/>
    <cellStyle name="Comma 2 3 2 2 2 3 2 3" xfId="2559"/>
    <cellStyle name="Comma 2 3 2 2 2 3 3" xfId="2560"/>
    <cellStyle name="Comma 2 3 2 2 2 3 3 2" xfId="2561"/>
    <cellStyle name="Comma 2 3 2 2 2 3 4" xfId="2562"/>
    <cellStyle name="Comma 2 3 2 2 2 4" xfId="2563"/>
    <cellStyle name="Comma 2 3 2 2 2 4 2" xfId="2564"/>
    <cellStyle name="Comma 2 3 2 2 2 4 2 2" xfId="2565"/>
    <cellStyle name="Comma 2 3 2 2 2 4 3" xfId="2566"/>
    <cellStyle name="Comma 2 3 2 2 2 5" xfId="2567"/>
    <cellStyle name="Comma 2 3 2 2 2 5 2" xfId="2568"/>
    <cellStyle name="Comma 2 3 2 2 2 5 2 2" xfId="2569"/>
    <cellStyle name="Comma 2 3 2 2 2 5 3" xfId="2570"/>
    <cellStyle name="Comma 2 3 2 2 2 6" xfId="2571"/>
    <cellStyle name="Comma 2 3 2 2 2 6 2" xfId="2572"/>
    <cellStyle name="Comma 2 3 2 2 2 7" xfId="2573"/>
    <cellStyle name="Comma 2 3 2 2 2 7 2" xfId="35918"/>
    <cellStyle name="Comma 2 3 2 2 2 8" xfId="2574"/>
    <cellStyle name="Comma 2 3 2 2 3" xfId="2575"/>
    <cellStyle name="Comma 2 3 2 2 3 2" xfId="2576"/>
    <cellStyle name="Comma 2 3 2 2 3 2 2" xfId="2577"/>
    <cellStyle name="Comma 2 3 2 2 3 2 2 2" xfId="2578"/>
    <cellStyle name="Comma 2 3 2 2 3 2 2 3" xfId="2579"/>
    <cellStyle name="Comma 2 3 2 2 3 2 3" xfId="2580"/>
    <cellStyle name="Comma 2 3 2 2 3 2 3 2" xfId="2581"/>
    <cellStyle name="Comma 2 3 2 2 3 2 4" xfId="2582"/>
    <cellStyle name="Comma 2 3 2 2 3 3" xfId="2583"/>
    <cellStyle name="Comma 2 3 2 2 3 3 2" xfId="2584"/>
    <cellStyle name="Comma 2 3 2 2 3 3 2 2" xfId="2585"/>
    <cellStyle name="Comma 2 3 2 2 3 3 3" xfId="2586"/>
    <cellStyle name="Comma 2 3 2 2 3 4" xfId="2587"/>
    <cellStyle name="Comma 2 3 2 2 3 4 2" xfId="2588"/>
    <cellStyle name="Comma 2 3 2 2 3 4 3" xfId="2589"/>
    <cellStyle name="Comma 2 3 2 2 3 5" xfId="2590"/>
    <cellStyle name="Comma 2 3 2 2 3 5 2" xfId="2591"/>
    <cellStyle name="Comma 2 3 2 2 3 6" xfId="2592"/>
    <cellStyle name="Comma 2 3 2 2 3 6 2" xfId="35919"/>
    <cellStyle name="Comma 2 3 2 2 3 7" xfId="2593"/>
    <cellStyle name="Comma 2 3 2 2 4" xfId="2594"/>
    <cellStyle name="Comma 2 3 2 2 4 2" xfId="2595"/>
    <cellStyle name="Comma 2 3 2 2 4 2 2" xfId="2596"/>
    <cellStyle name="Comma 2 3 2 2 4 2 2 2" xfId="2597"/>
    <cellStyle name="Comma 2 3 2 2 4 2 3" xfId="2598"/>
    <cellStyle name="Comma 2 3 2 2 4 3" xfId="2599"/>
    <cellStyle name="Comma 2 3 2 2 4 3 2" xfId="2600"/>
    <cellStyle name="Comma 2 3 2 2 4 4" xfId="2601"/>
    <cellStyle name="Comma 2 3 2 2 5" xfId="2602"/>
    <cellStyle name="Comma 2 3 2 2 5 2" xfId="2603"/>
    <cellStyle name="Comma 2 3 2 2 5 2 2" xfId="2604"/>
    <cellStyle name="Comma 2 3 2 2 5 3" xfId="2605"/>
    <cellStyle name="Comma 2 3 2 2 6" xfId="2606"/>
    <cellStyle name="Comma 2 3 2 2 6 2" xfId="2607"/>
    <cellStyle name="Comma 2 3 2 2 6 2 2" xfId="2608"/>
    <cellStyle name="Comma 2 3 2 2 6 3" xfId="2609"/>
    <cellStyle name="Comma 2 3 2 2 7" xfId="2610"/>
    <cellStyle name="Comma 2 3 2 2 7 2" xfId="2611"/>
    <cellStyle name="Comma 2 3 2 2 8" xfId="2612"/>
    <cellStyle name="Comma 2 3 2 2 8 2" xfId="35920"/>
    <cellStyle name="Comma 2 3 2 2 9" xfId="2613"/>
    <cellStyle name="Comma 2 3 2 3" xfId="2614"/>
    <cellStyle name="Comma 2 3 2 3 2" xfId="2615"/>
    <cellStyle name="Comma 2 3 2 3 2 2" xfId="2616"/>
    <cellStyle name="Comma 2 3 2 3 2 2 2" xfId="2617"/>
    <cellStyle name="Comma 2 3 2 3 2 2 2 2" xfId="2618"/>
    <cellStyle name="Comma 2 3 2 3 2 2 2 3" xfId="2619"/>
    <cellStyle name="Comma 2 3 2 3 2 2 3" xfId="2620"/>
    <cellStyle name="Comma 2 3 2 3 2 2 3 2" xfId="2621"/>
    <cellStyle name="Comma 2 3 2 3 2 2 4" xfId="2622"/>
    <cellStyle name="Comma 2 3 2 3 2 3" xfId="2623"/>
    <cellStyle name="Comma 2 3 2 3 2 3 2" xfId="2624"/>
    <cellStyle name="Comma 2 3 2 3 2 3 2 2" xfId="2625"/>
    <cellStyle name="Comma 2 3 2 3 2 3 3" xfId="2626"/>
    <cellStyle name="Comma 2 3 2 3 2 4" xfId="2627"/>
    <cellStyle name="Comma 2 3 2 3 2 4 2" xfId="2628"/>
    <cellStyle name="Comma 2 3 2 3 2 4 3" xfId="2629"/>
    <cellStyle name="Comma 2 3 2 3 2 5" xfId="2630"/>
    <cellStyle name="Comma 2 3 2 3 2 5 2" xfId="2631"/>
    <cellStyle name="Comma 2 3 2 3 2 6" xfId="2632"/>
    <cellStyle name="Comma 2 3 2 3 2 6 2" xfId="35921"/>
    <cellStyle name="Comma 2 3 2 3 2 7" xfId="2633"/>
    <cellStyle name="Comma 2 3 2 3 3" xfId="2634"/>
    <cellStyle name="Comma 2 3 2 3 3 2" xfId="2635"/>
    <cellStyle name="Comma 2 3 2 3 3 2 2" xfId="2636"/>
    <cellStyle name="Comma 2 3 2 3 3 2 2 2" xfId="2637"/>
    <cellStyle name="Comma 2 3 2 3 3 2 3" xfId="2638"/>
    <cellStyle name="Comma 2 3 2 3 3 3" xfId="2639"/>
    <cellStyle name="Comma 2 3 2 3 3 3 2" xfId="2640"/>
    <cellStyle name="Comma 2 3 2 3 3 4" xfId="2641"/>
    <cellStyle name="Comma 2 3 2 3 4" xfId="2642"/>
    <cellStyle name="Comma 2 3 2 3 4 2" xfId="2643"/>
    <cellStyle name="Comma 2 3 2 3 4 2 2" xfId="2644"/>
    <cellStyle name="Comma 2 3 2 3 4 3" xfId="2645"/>
    <cellStyle name="Comma 2 3 2 3 5" xfId="2646"/>
    <cellStyle name="Comma 2 3 2 3 5 2" xfId="2647"/>
    <cellStyle name="Comma 2 3 2 3 5 2 2" xfId="2648"/>
    <cellStyle name="Comma 2 3 2 3 5 3" xfId="2649"/>
    <cellStyle name="Comma 2 3 2 3 6" xfId="2650"/>
    <cellStyle name="Comma 2 3 2 3 6 2" xfId="2651"/>
    <cellStyle name="Comma 2 3 2 3 7" xfId="2652"/>
    <cellStyle name="Comma 2 3 2 3 7 2" xfId="35922"/>
    <cellStyle name="Comma 2 3 2 3 8" xfId="2653"/>
    <cellStyle name="Comma 2 3 2 4" xfId="2654"/>
    <cellStyle name="Comma 2 3 2 4 2" xfId="2655"/>
    <cellStyle name="Comma 2 3 2 4 2 2" xfId="2656"/>
    <cellStyle name="Comma 2 3 2 4 2 2 2" xfId="2657"/>
    <cellStyle name="Comma 2 3 2 4 2 2 3" xfId="2658"/>
    <cellStyle name="Comma 2 3 2 4 2 3" xfId="2659"/>
    <cellStyle name="Comma 2 3 2 4 2 3 2" xfId="2660"/>
    <cellStyle name="Comma 2 3 2 4 2 4" xfId="2661"/>
    <cellStyle name="Comma 2 3 2 4 3" xfId="2662"/>
    <cellStyle name="Comma 2 3 2 4 3 2" xfId="2663"/>
    <cellStyle name="Comma 2 3 2 4 3 2 2" xfId="2664"/>
    <cellStyle name="Comma 2 3 2 4 3 3" xfId="2665"/>
    <cellStyle name="Comma 2 3 2 4 4" xfId="2666"/>
    <cellStyle name="Comma 2 3 2 4 4 2" xfId="2667"/>
    <cellStyle name="Comma 2 3 2 4 4 3" xfId="2668"/>
    <cellStyle name="Comma 2 3 2 4 5" xfId="2669"/>
    <cellStyle name="Comma 2 3 2 4 5 2" xfId="2670"/>
    <cellStyle name="Comma 2 3 2 4 6" xfId="2671"/>
    <cellStyle name="Comma 2 3 2 4 6 2" xfId="35923"/>
    <cellStyle name="Comma 2 3 2 4 7" xfId="2672"/>
    <cellStyle name="Comma 2 3 2 5" xfId="2673"/>
    <cellStyle name="Comma 2 3 2 5 2" xfId="2674"/>
    <cellStyle name="Comma 2 3 2 5 2 2" xfId="2675"/>
    <cellStyle name="Comma 2 3 2 5 2 2 2" xfId="2676"/>
    <cellStyle name="Comma 2 3 2 5 2 3" xfId="2677"/>
    <cellStyle name="Comma 2 3 2 5 3" xfId="2678"/>
    <cellStyle name="Comma 2 3 2 5 3 2" xfId="2679"/>
    <cellStyle name="Comma 2 3 2 5 4" xfId="2680"/>
    <cellStyle name="Comma 2 3 2 6" xfId="2681"/>
    <cellStyle name="Comma 2 3 2 6 2" xfId="2682"/>
    <cellStyle name="Comma 2 3 2 6 2 2" xfId="2683"/>
    <cellStyle name="Comma 2 3 2 6 3" xfId="2684"/>
    <cellStyle name="Comma 2 3 2 7" xfId="2685"/>
    <cellStyle name="Comma 2 3 2 7 2" xfId="2686"/>
    <cellStyle name="Comma 2 3 2 7 2 2" xfId="2687"/>
    <cellStyle name="Comma 2 3 2 7 3" xfId="2688"/>
    <cellStyle name="Comma 2 3 2 8" xfId="2689"/>
    <cellStyle name="Comma 2 3 2 8 2" xfId="2690"/>
    <cellStyle name="Comma 2 3 2 9" xfId="2691"/>
    <cellStyle name="Comma 2 3 2 9 2" xfId="35924"/>
    <cellStyle name="Comma 2 3 3" xfId="2692"/>
    <cellStyle name="Comma 2 3 3 2" xfId="2693"/>
    <cellStyle name="Comma 2 3 3 2 2" xfId="2694"/>
    <cellStyle name="Comma 2 3 3 2 2 2" xfId="2695"/>
    <cellStyle name="Comma 2 3 3 2 2 2 2" xfId="2696"/>
    <cellStyle name="Comma 2 3 3 2 2 2 2 2" xfId="2697"/>
    <cellStyle name="Comma 2 3 3 2 2 2 2 3" xfId="2698"/>
    <cellStyle name="Comma 2 3 3 2 2 2 3" xfId="2699"/>
    <cellStyle name="Comma 2 3 3 2 2 2 3 2" xfId="2700"/>
    <cellStyle name="Comma 2 3 3 2 2 2 4" xfId="2701"/>
    <cellStyle name="Comma 2 3 3 2 2 3" xfId="2702"/>
    <cellStyle name="Comma 2 3 3 2 2 3 2" xfId="2703"/>
    <cellStyle name="Comma 2 3 3 2 2 3 2 2" xfId="2704"/>
    <cellStyle name="Comma 2 3 3 2 2 3 3" xfId="2705"/>
    <cellStyle name="Comma 2 3 3 2 2 4" xfId="2706"/>
    <cellStyle name="Comma 2 3 3 2 2 4 2" xfId="2707"/>
    <cellStyle name="Comma 2 3 3 2 2 4 3" xfId="2708"/>
    <cellStyle name="Comma 2 3 3 2 2 5" xfId="2709"/>
    <cellStyle name="Comma 2 3 3 2 2 5 2" xfId="2710"/>
    <cellStyle name="Comma 2 3 3 2 2 6" xfId="2711"/>
    <cellStyle name="Comma 2 3 3 2 2 6 2" xfId="35925"/>
    <cellStyle name="Comma 2 3 3 2 2 7" xfId="2712"/>
    <cellStyle name="Comma 2 3 3 2 3" xfId="2713"/>
    <cellStyle name="Comma 2 3 3 2 3 2" xfId="2714"/>
    <cellStyle name="Comma 2 3 3 2 3 2 2" xfId="2715"/>
    <cellStyle name="Comma 2 3 3 2 3 2 2 2" xfId="2716"/>
    <cellStyle name="Comma 2 3 3 2 3 2 3" xfId="2717"/>
    <cellStyle name="Comma 2 3 3 2 3 3" xfId="2718"/>
    <cellStyle name="Comma 2 3 3 2 3 3 2" xfId="2719"/>
    <cellStyle name="Comma 2 3 3 2 3 4" xfId="2720"/>
    <cellStyle name="Comma 2 3 3 2 4" xfId="2721"/>
    <cellStyle name="Comma 2 3 3 2 4 2" xfId="2722"/>
    <cellStyle name="Comma 2 3 3 2 4 2 2" xfId="2723"/>
    <cellStyle name="Comma 2 3 3 2 4 3" xfId="2724"/>
    <cellStyle name="Comma 2 3 3 2 5" xfId="2725"/>
    <cellStyle name="Comma 2 3 3 2 5 2" xfId="2726"/>
    <cellStyle name="Comma 2 3 3 2 5 2 2" xfId="2727"/>
    <cellStyle name="Comma 2 3 3 2 5 3" xfId="2728"/>
    <cellStyle name="Comma 2 3 3 2 6" xfId="2729"/>
    <cellStyle name="Comma 2 3 3 2 6 2" xfId="2730"/>
    <cellStyle name="Comma 2 3 3 2 7" xfId="2731"/>
    <cellStyle name="Comma 2 3 3 2 7 2" xfId="35926"/>
    <cellStyle name="Comma 2 3 3 2 8" xfId="2732"/>
    <cellStyle name="Comma 2 3 3 3" xfId="2733"/>
    <cellStyle name="Comma 2 3 3 3 2" xfId="2734"/>
    <cellStyle name="Comma 2 3 3 3 2 2" xfId="2735"/>
    <cellStyle name="Comma 2 3 3 3 2 2 2" xfId="2736"/>
    <cellStyle name="Comma 2 3 3 3 2 2 3" xfId="2737"/>
    <cellStyle name="Comma 2 3 3 3 2 3" xfId="2738"/>
    <cellStyle name="Comma 2 3 3 3 2 3 2" xfId="2739"/>
    <cellStyle name="Comma 2 3 3 3 2 4" xfId="2740"/>
    <cellStyle name="Comma 2 3 3 3 3" xfId="2741"/>
    <cellStyle name="Comma 2 3 3 3 3 2" xfId="2742"/>
    <cellStyle name="Comma 2 3 3 3 3 2 2" xfId="2743"/>
    <cellStyle name="Comma 2 3 3 3 3 3" xfId="2744"/>
    <cellStyle name="Comma 2 3 3 3 4" xfId="2745"/>
    <cellStyle name="Comma 2 3 3 3 4 2" xfId="2746"/>
    <cellStyle name="Comma 2 3 3 3 4 3" xfId="2747"/>
    <cellStyle name="Comma 2 3 3 3 5" xfId="2748"/>
    <cellStyle name="Comma 2 3 3 3 5 2" xfId="2749"/>
    <cellStyle name="Comma 2 3 3 3 6" xfId="2750"/>
    <cellStyle name="Comma 2 3 3 3 6 2" xfId="35927"/>
    <cellStyle name="Comma 2 3 3 3 7" xfId="2751"/>
    <cellStyle name="Comma 2 3 3 4" xfId="2752"/>
    <cellStyle name="Comma 2 3 3 4 2" xfId="2753"/>
    <cellStyle name="Comma 2 3 3 4 2 2" xfId="2754"/>
    <cellStyle name="Comma 2 3 3 4 2 2 2" xfId="2755"/>
    <cellStyle name="Comma 2 3 3 4 2 3" xfId="2756"/>
    <cellStyle name="Comma 2 3 3 4 3" xfId="2757"/>
    <cellStyle name="Comma 2 3 3 4 3 2" xfId="2758"/>
    <cellStyle name="Comma 2 3 3 4 4" xfId="2759"/>
    <cellStyle name="Comma 2 3 3 5" xfId="2760"/>
    <cellStyle name="Comma 2 3 3 5 2" xfId="2761"/>
    <cellStyle name="Comma 2 3 3 5 2 2" xfId="2762"/>
    <cellStyle name="Comma 2 3 3 5 3" xfId="2763"/>
    <cellStyle name="Comma 2 3 3 6" xfId="2764"/>
    <cellStyle name="Comma 2 3 3 6 2" xfId="2765"/>
    <cellStyle name="Comma 2 3 3 6 2 2" xfId="2766"/>
    <cellStyle name="Comma 2 3 3 6 3" xfId="2767"/>
    <cellStyle name="Comma 2 3 3 7" xfId="2768"/>
    <cellStyle name="Comma 2 3 3 7 2" xfId="2769"/>
    <cellStyle name="Comma 2 3 3 8" xfId="2770"/>
    <cellStyle name="Comma 2 3 3 8 2" xfId="35928"/>
    <cellStyle name="Comma 2 3 3 9" xfId="2771"/>
    <cellStyle name="Comma 2 3 4" xfId="2772"/>
    <cellStyle name="Comma 2 3 4 2" xfId="2773"/>
    <cellStyle name="Comma 2 3 4 2 2" xfId="2774"/>
    <cellStyle name="Comma 2 3 4 2 2 2" xfId="2775"/>
    <cellStyle name="Comma 2 3 4 2 2 2 2" xfId="2776"/>
    <cellStyle name="Comma 2 3 4 2 2 2 2 2" xfId="2777"/>
    <cellStyle name="Comma 2 3 4 2 2 2 2 3" xfId="2778"/>
    <cellStyle name="Comma 2 3 4 2 2 2 3" xfId="2779"/>
    <cellStyle name="Comma 2 3 4 2 2 2 3 2" xfId="2780"/>
    <cellStyle name="Comma 2 3 4 2 2 2 4" xfId="2781"/>
    <cellStyle name="Comma 2 3 4 2 2 3" xfId="2782"/>
    <cellStyle name="Comma 2 3 4 2 2 3 2" xfId="2783"/>
    <cellStyle name="Comma 2 3 4 2 2 3 2 2" xfId="2784"/>
    <cellStyle name="Comma 2 3 4 2 2 3 3" xfId="2785"/>
    <cellStyle name="Comma 2 3 4 2 2 4" xfId="2786"/>
    <cellStyle name="Comma 2 3 4 2 2 4 2" xfId="2787"/>
    <cellStyle name="Comma 2 3 4 2 2 4 3" xfId="2788"/>
    <cellStyle name="Comma 2 3 4 2 2 5" xfId="2789"/>
    <cellStyle name="Comma 2 3 4 2 2 5 2" xfId="2790"/>
    <cellStyle name="Comma 2 3 4 2 2 6" xfId="2791"/>
    <cellStyle name="Comma 2 3 4 2 2 6 2" xfId="35929"/>
    <cellStyle name="Comma 2 3 4 2 2 7" xfId="2792"/>
    <cellStyle name="Comma 2 3 4 2 3" xfId="2793"/>
    <cellStyle name="Comma 2 3 4 2 3 2" xfId="2794"/>
    <cellStyle name="Comma 2 3 4 2 3 2 2" xfId="2795"/>
    <cellStyle name="Comma 2 3 4 2 3 2 2 2" xfId="2796"/>
    <cellStyle name="Comma 2 3 4 2 3 2 3" xfId="2797"/>
    <cellStyle name="Comma 2 3 4 2 3 3" xfId="2798"/>
    <cellStyle name="Comma 2 3 4 2 3 3 2" xfId="2799"/>
    <cellStyle name="Comma 2 3 4 2 3 4" xfId="2800"/>
    <cellStyle name="Comma 2 3 4 2 4" xfId="2801"/>
    <cellStyle name="Comma 2 3 4 2 4 2" xfId="2802"/>
    <cellStyle name="Comma 2 3 4 2 4 2 2" xfId="2803"/>
    <cellStyle name="Comma 2 3 4 2 4 3" xfId="2804"/>
    <cellStyle name="Comma 2 3 4 2 5" xfId="2805"/>
    <cellStyle name="Comma 2 3 4 2 5 2" xfId="2806"/>
    <cellStyle name="Comma 2 3 4 2 5 2 2" xfId="2807"/>
    <cellStyle name="Comma 2 3 4 2 5 3" xfId="2808"/>
    <cellStyle name="Comma 2 3 4 2 6" xfId="2809"/>
    <cellStyle name="Comma 2 3 4 2 6 2" xfId="2810"/>
    <cellStyle name="Comma 2 3 4 2 7" xfId="2811"/>
    <cellStyle name="Comma 2 3 4 2 7 2" xfId="35930"/>
    <cellStyle name="Comma 2 3 4 2 8" xfId="2812"/>
    <cellStyle name="Comma 2 3 4 3" xfId="2813"/>
    <cellStyle name="Comma 2 3 4 3 2" xfId="2814"/>
    <cellStyle name="Comma 2 3 4 3 2 2" xfId="2815"/>
    <cellStyle name="Comma 2 3 4 3 2 2 2" xfId="2816"/>
    <cellStyle name="Comma 2 3 4 3 2 2 3" xfId="2817"/>
    <cellStyle name="Comma 2 3 4 3 2 3" xfId="2818"/>
    <cellStyle name="Comma 2 3 4 3 2 3 2" xfId="2819"/>
    <cellStyle name="Comma 2 3 4 3 2 4" xfId="2820"/>
    <cellStyle name="Comma 2 3 4 3 3" xfId="2821"/>
    <cellStyle name="Comma 2 3 4 3 3 2" xfId="2822"/>
    <cellStyle name="Comma 2 3 4 3 3 2 2" xfId="2823"/>
    <cellStyle name="Comma 2 3 4 3 3 3" xfId="2824"/>
    <cellStyle name="Comma 2 3 4 3 4" xfId="2825"/>
    <cellStyle name="Comma 2 3 4 3 4 2" xfId="2826"/>
    <cellStyle name="Comma 2 3 4 3 4 3" xfId="2827"/>
    <cellStyle name="Comma 2 3 4 3 5" xfId="2828"/>
    <cellStyle name="Comma 2 3 4 3 5 2" xfId="2829"/>
    <cellStyle name="Comma 2 3 4 3 6" xfId="2830"/>
    <cellStyle name="Comma 2 3 4 3 6 2" xfId="35931"/>
    <cellStyle name="Comma 2 3 4 3 7" xfId="2831"/>
    <cellStyle name="Comma 2 3 4 4" xfId="2832"/>
    <cellStyle name="Comma 2 3 4 4 2" xfId="2833"/>
    <cellStyle name="Comma 2 3 4 4 2 2" xfId="2834"/>
    <cellStyle name="Comma 2 3 4 4 2 2 2" xfId="2835"/>
    <cellStyle name="Comma 2 3 4 4 2 3" xfId="2836"/>
    <cellStyle name="Comma 2 3 4 4 3" xfId="2837"/>
    <cellStyle name="Comma 2 3 4 4 3 2" xfId="2838"/>
    <cellStyle name="Comma 2 3 4 4 4" xfId="2839"/>
    <cellStyle name="Comma 2 3 4 5" xfId="2840"/>
    <cellStyle name="Comma 2 3 4 5 2" xfId="2841"/>
    <cellStyle name="Comma 2 3 4 5 2 2" xfId="2842"/>
    <cellStyle name="Comma 2 3 4 5 3" xfId="2843"/>
    <cellStyle name="Comma 2 3 4 6" xfId="2844"/>
    <cellStyle name="Comma 2 3 4 6 2" xfId="2845"/>
    <cellStyle name="Comma 2 3 4 6 2 2" xfId="2846"/>
    <cellStyle name="Comma 2 3 4 6 3" xfId="2847"/>
    <cellStyle name="Comma 2 3 4 7" xfId="2848"/>
    <cellStyle name="Comma 2 3 4 7 2" xfId="2849"/>
    <cellStyle name="Comma 2 3 4 8" xfId="2850"/>
    <cellStyle name="Comma 2 3 4 8 2" xfId="35932"/>
    <cellStyle name="Comma 2 3 4 9" xfId="2851"/>
    <cellStyle name="Comma 2 3 5" xfId="2852"/>
    <cellStyle name="Comma 2 3 5 2" xfId="2853"/>
    <cellStyle name="Comma 2 3 5 2 2" xfId="2854"/>
    <cellStyle name="Comma 2 3 5 2 2 2" xfId="2855"/>
    <cellStyle name="Comma 2 3 5 2 2 2 2" xfId="2856"/>
    <cellStyle name="Comma 2 3 5 2 2 2 3" xfId="2857"/>
    <cellStyle name="Comma 2 3 5 2 2 3" xfId="2858"/>
    <cellStyle name="Comma 2 3 5 2 2 3 2" xfId="2859"/>
    <cellStyle name="Comma 2 3 5 2 2 4" xfId="2860"/>
    <cellStyle name="Comma 2 3 5 2 3" xfId="2861"/>
    <cellStyle name="Comma 2 3 5 2 3 2" xfId="2862"/>
    <cellStyle name="Comma 2 3 5 2 3 2 2" xfId="2863"/>
    <cellStyle name="Comma 2 3 5 2 3 3" xfId="2864"/>
    <cellStyle name="Comma 2 3 5 2 4" xfId="2865"/>
    <cellStyle name="Comma 2 3 5 2 4 2" xfId="2866"/>
    <cellStyle name="Comma 2 3 5 2 4 3" xfId="2867"/>
    <cellStyle name="Comma 2 3 5 2 5" xfId="2868"/>
    <cellStyle name="Comma 2 3 5 2 5 2" xfId="2869"/>
    <cellStyle name="Comma 2 3 5 2 6" xfId="2870"/>
    <cellStyle name="Comma 2 3 5 2 6 2" xfId="35933"/>
    <cellStyle name="Comma 2 3 5 2 7" xfId="2871"/>
    <cellStyle name="Comma 2 3 5 3" xfId="2872"/>
    <cellStyle name="Comma 2 3 5 3 2" xfId="2873"/>
    <cellStyle name="Comma 2 3 5 3 2 2" xfId="2874"/>
    <cellStyle name="Comma 2 3 5 3 2 2 2" xfId="2875"/>
    <cellStyle name="Comma 2 3 5 3 2 3" xfId="2876"/>
    <cellStyle name="Comma 2 3 5 3 3" xfId="2877"/>
    <cellStyle name="Comma 2 3 5 3 3 2" xfId="2878"/>
    <cellStyle name="Comma 2 3 5 3 4" xfId="2879"/>
    <cellStyle name="Comma 2 3 5 4" xfId="2880"/>
    <cellStyle name="Comma 2 3 5 4 2" xfId="2881"/>
    <cellStyle name="Comma 2 3 5 4 2 2" xfId="2882"/>
    <cellStyle name="Comma 2 3 5 4 3" xfId="2883"/>
    <cellStyle name="Comma 2 3 5 5" xfId="2884"/>
    <cellStyle name="Comma 2 3 5 5 2" xfId="2885"/>
    <cellStyle name="Comma 2 3 5 5 2 2" xfId="2886"/>
    <cellStyle name="Comma 2 3 5 5 3" xfId="2887"/>
    <cellStyle name="Comma 2 3 5 6" xfId="2888"/>
    <cellStyle name="Comma 2 3 5 6 2" xfId="2889"/>
    <cellStyle name="Comma 2 3 5 7" xfId="2890"/>
    <cellStyle name="Comma 2 3 5 7 2" xfId="35934"/>
    <cellStyle name="Comma 2 3 5 8" xfId="2891"/>
    <cellStyle name="Comma 2 3 6" xfId="2892"/>
    <cellStyle name="Comma 2 3 6 2" xfId="2893"/>
    <cellStyle name="Comma 2 3 6 2 2" xfId="2894"/>
    <cellStyle name="Comma 2 3 6 2 2 2" xfId="2895"/>
    <cellStyle name="Comma 2 3 6 2 2 2 2" xfId="2896"/>
    <cellStyle name="Comma 2 3 6 2 2 2 3" xfId="2897"/>
    <cellStyle name="Comma 2 3 6 2 2 3" xfId="2898"/>
    <cellStyle name="Comma 2 3 6 2 2 3 2" xfId="2899"/>
    <cellStyle name="Comma 2 3 6 2 2 4" xfId="2900"/>
    <cellStyle name="Comma 2 3 6 2 3" xfId="2901"/>
    <cellStyle name="Comma 2 3 6 2 3 2" xfId="2902"/>
    <cellStyle name="Comma 2 3 6 2 3 2 2" xfId="2903"/>
    <cellStyle name="Comma 2 3 6 2 3 3" xfId="2904"/>
    <cellStyle name="Comma 2 3 6 2 4" xfId="2905"/>
    <cellStyle name="Comma 2 3 6 2 4 2" xfId="2906"/>
    <cellStyle name="Comma 2 3 6 2 4 3" xfId="2907"/>
    <cellStyle name="Comma 2 3 6 2 5" xfId="2908"/>
    <cellStyle name="Comma 2 3 6 2 5 2" xfId="2909"/>
    <cellStyle name="Comma 2 3 6 2 6" xfId="2910"/>
    <cellStyle name="Comma 2 3 6 2 6 2" xfId="35935"/>
    <cellStyle name="Comma 2 3 6 2 7" xfId="2911"/>
    <cellStyle name="Comma 2 3 6 3" xfId="2912"/>
    <cellStyle name="Comma 2 3 6 3 2" xfId="2913"/>
    <cellStyle name="Comma 2 3 6 3 2 2" xfId="2914"/>
    <cellStyle name="Comma 2 3 6 3 2 2 2" xfId="2915"/>
    <cellStyle name="Comma 2 3 6 3 2 3" xfId="2916"/>
    <cellStyle name="Comma 2 3 6 3 3" xfId="2917"/>
    <cellStyle name="Comma 2 3 6 3 3 2" xfId="2918"/>
    <cellStyle name="Comma 2 3 6 3 4" xfId="2919"/>
    <cellStyle name="Comma 2 3 6 4" xfId="2920"/>
    <cellStyle name="Comma 2 3 6 4 2" xfId="2921"/>
    <cellStyle name="Comma 2 3 6 4 2 2" xfId="2922"/>
    <cellStyle name="Comma 2 3 6 4 3" xfId="2923"/>
    <cellStyle name="Comma 2 3 6 5" xfId="2924"/>
    <cellStyle name="Comma 2 3 6 5 2" xfId="2925"/>
    <cellStyle name="Comma 2 3 6 5 2 2" xfId="2926"/>
    <cellStyle name="Comma 2 3 6 5 3" xfId="2927"/>
    <cellStyle name="Comma 2 3 6 6" xfId="2928"/>
    <cellStyle name="Comma 2 3 6 6 2" xfId="2929"/>
    <cellStyle name="Comma 2 3 6 7" xfId="2930"/>
    <cellStyle name="Comma 2 3 6 7 2" xfId="35936"/>
    <cellStyle name="Comma 2 3 6 8" xfId="2931"/>
    <cellStyle name="Comma 2 3 7" xfId="2932"/>
    <cellStyle name="Comma 2 3 7 2" xfId="2933"/>
    <cellStyle name="Comma 2 3 7 2 2" xfId="2934"/>
    <cellStyle name="Comma 2 3 7 2 2 2" xfId="2935"/>
    <cellStyle name="Comma 2 3 7 2 2 2 2" xfId="2936"/>
    <cellStyle name="Comma 2 3 7 2 2 2 3" xfId="2937"/>
    <cellStyle name="Comma 2 3 7 2 2 3" xfId="2938"/>
    <cellStyle name="Comma 2 3 7 2 2 3 2" xfId="2939"/>
    <cellStyle name="Comma 2 3 7 2 2 4" xfId="2940"/>
    <cellStyle name="Comma 2 3 7 2 3" xfId="2941"/>
    <cellStyle name="Comma 2 3 7 2 3 2" xfId="2942"/>
    <cellStyle name="Comma 2 3 7 2 3 2 2" xfId="2943"/>
    <cellStyle name="Comma 2 3 7 2 3 3" xfId="2944"/>
    <cellStyle name="Comma 2 3 7 2 4" xfId="2945"/>
    <cellStyle name="Comma 2 3 7 2 4 2" xfId="2946"/>
    <cellStyle name="Comma 2 3 7 2 4 3" xfId="2947"/>
    <cellStyle name="Comma 2 3 7 2 5" xfId="2948"/>
    <cellStyle name="Comma 2 3 7 2 5 2" xfId="2949"/>
    <cellStyle name="Comma 2 3 7 2 6" xfId="2950"/>
    <cellStyle name="Comma 2 3 7 2 6 2" xfId="35937"/>
    <cellStyle name="Comma 2 3 7 2 7" xfId="2951"/>
    <cellStyle name="Comma 2 3 7 3" xfId="2952"/>
    <cellStyle name="Comma 2 3 7 3 2" xfId="2953"/>
    <cellStyle name="Comma 2 3 7 3 2 2" xfId="2954"/>
    <cellStyle name="Comma 2 3 7 3 2 2 2" xfId="2955"/>
    <cellStyle name="Comma 2 3 7 3 2 3" xfId="2956"/>
    <cellStyle name="Comma 2 3 7 3 3" xfId="2957"/>
    <cellStyle name="Comma 2 3 7 3 3 2" xfId="2958"/>
    <cellStyle name="Comma 2 3 7 3 4" xfId="2959"/>
    <cellStyle name="Comma 2 3 7 4" xfId="2960"/>
    <cellStyle name="Comma 2 3 7 4 2" xfId="2961"/>
    <cellStyle name="Comma 2 3 7 4 2 2" xfId="2962"/>
    <cellStyle name="Comma 2 3 7 4 3" xfId="2963"/>
    <cellStyle name="Comma 2 3 7 5" xfId="2964"/>
    <cellStyle name="Comma 2 3 7 5 2" xfId="2965"/>
    <cellStyle name="Comma 2 3 7 5 2 2" xfId="2966"/>
    <cellStyle name="Comma 2 3 7 5 3" xfId="2967"/>
    <cellStyle name="Comma 2 3 7 6" xfId="2968"/>
    <cellStyle name="Comma 2 3 7 6 2" xfId="2969"/>
    <cellStyle name="Comma 2 3 7 7" xfId="2970"/>
    <cellStyle name="Comma 2 3 7 7 2" xfId="35938"/>
    <cellStyle name="Comma 2 3 7 8" xfId="2971"/>
    <cellStyle name="Comma 2 3 8" xfId="2972"/>
    <cellStyle name="Comma 2 3 8 2" xfId="2973"/>
    <cellStyle name="Comma 2 3 8 2 2" xfId="2974"/>
    <cellStyle name="Comma 2 3 8 2 2 2" xfId="2975"/>
    <cellStyle name="Comma 2 3 8 2 2 3" xfId="2976"/>
    <cellStyle name="Comma 2 3 8 2 3" xfId="2977"/>
    <cellStyle name="Comma 2 3 8 2 3 2" xfId="2978"/>
    <cellStyle name="Comma 2 3 8 2 4" xfId="2979"/>
    <cellStyle name="Comma 2 3 8 3" xfId="2980"/>
    <cellStyle name="Comma 2 3 8 3 2" xfId="2981"/>
    <cellStyle name="Comma 2 3 8 3 2 2" xfId="2982"/>
    <cellStyle name="Comma 2 3 8 3 3" xfId="2983"/>
    <cellStyle name="Comma 2 3 8 4" xfId="2984"/>
    <cellStyle name="Comma 2 3 8 4 2" xfId="2985"/>
    <cellStyle name="Comma 2 3 8 4 3" xfId="2986"/>
    <cellStyle name="Comma 2 3 8 5" xfId="2987"/>
    <cellStyle name="Comma 2 3 8 5 2" xfId="2988"/>
    <cellStyle name="Comma 2 3 8 6" xfId="2989"/>
    <cellStyle name="Comma 2 3 8 6 2" xfId="35939"/>
    <cellStyle name="Comma 2 3 8 7" xfId="2990"/>
    <cellStyle name="Comma 2 3 9" xfId="2991"/>
    <cellStyle name="Comma 2 3 9 2" xfId="2992"/>
    <cellStyle name="Comma 2 3 9 2 2" xfId="2993"/>
    <cellStyle name="Comma 2 3 9 2 2 2" xfId="2994"/>
    <cellStyle name="Comma 2 3 9 2 3" xfId="2995"/>
    <cellStyle name="Comma 2 3 9 3" xfId="2996"/>
    <cellStyle name="Comma 2 3 9 3 2" xfId="2997"/>
    <cellStyle name="Comma 2 3 9 4" xfId="2998"/>
    <cellStyle name="Comma 2 4" xfId="2999"/>
    <cellStyle name="Comma 2 4 10" xfId="3000"/>
    <cellStyle name="Comma 2 4 10 2" xfId="3001"/>
    <cellStyle name="Comma 2 4 10 2 2" xfId="3002"/>
    <cellStyle name="Comma 2 4 10 3" xfId="3003"/>
    <cellStyle name="Comma 2 4 11" xfId="3004"/>
    <cellStyle name="Comma 2 4 11 2" xfId="3005"/>
    <cellStyle name="Comma 2 4 11 2 2" xfId="3006"/>
    <cellStyle name="Comma 2 4 11 3" xfId="3007"/>
    <cellStyle name="Comma 2 4 12" xfId="3008"/>
    <cellStyle name="Comma 2 4 12 2" xfId="3009"/>
    <cellStyle name="Comma 2 4 13" xfId="3010"/>
    <cellStyle name="Comma 2 4 13 2" xfId="35940"/>
    <cellStyle name="Comma 2 4 14" xfId="3011"/>
    <cellStyle name="Comma 2 4 2" xfId="3012"/>
    <cellStyle name="Comma 2 4 2 10" xfId="3013"/>
    <cellStyle name="Comma 2 4 2 2" xfId="3014"/>
    <cellStyle name="Comma 2 4 2 2 2" xfId="3015"/>
    <cellStyle name="Comma 2 4 2 2 2 2" xfId="3016"/>
    <cellStyle name="Comma 2 4 2 2 2 2 2" xfId="3017"/>
    <cellStyle name="Comma 2 4 2 2 2 2 2 2" xfId="3018"/>
    <cellStyle name="Comma 2 4 2 2 2 2 2 2 2" xfId="3019"/>
    <cellStyle name="Comma 2 4 2 2 2 2 2 2 3" xfId="3020"/>
    <cellStyle name="Comma 2 4 2 2 2 2 2 3" xfId="3021"/>
    <cellStyle name="Comma 2 4 2 2 2 2 2 3 2" xfId="3022"/>
    <cellStyle name="Comma 2 4 2 2 2 2 2 4" xfId="3023"/>
    <cellStyle name="Comma 2 4 2 2 2 2 3" xfId="3024"/>
    <cellStyle name="Comma 2 4 2 2 2 2 3 2" xfId="3025"/>
    <cellStyle name="Comma 2 4 2 2 2 2 3 2 2" xfId="3026"/>
    <cellStyle name="Comma 2 4 2 2 2 2 3 3" xfId="3027"/>
    <cellStyle name="Comma 2 4 2 2 2 2 4" xfId="3028"/>
    <cellStyle name="Comma 2 4 2 2 2 2 4 2" xfId="3029"/>
    <cellStyle name="Comma 2 4 2 2 2 2 4 3" xfId="3030"/>
    <cellStyle name="Comma 2 4 2 2 2 2 5" xfId="3031"/>
    <cellStyle name="Comma 2 4 2 2 2 2 5 2" xfId="3032"/>
    <cellStyle name="Comma 2 4 2 2 2 2 6" xfId="3033"/>
    <cellStyle name="Comma 2 4 2 2 2 2 6 2" xfId="35941"/>
    <cellStyle name="Comma 2 4 2 2 2 2 7" xfId="3034"/>
    <cellStyle name="Comma 2 4 2 2 2 3" xfId="3035"/>
    <cellStyle name="Comma 2 4 2 2 2 3 2" xfId="3036"/>
    <cellStyle name="Comma 2 4 2 2 2 3 2 2" xfId="3037"/>
    <cellStyle name="Comma 2 4 2 2 2 3 2 2 2" xfId="3038"/>
    <cellStyle name="Comma 2 4 2 2 2 3 2 3" xfId="3039"/>
    <cellStyle name="Comma 2 4 2 2 2 3 3" xfId="3040"/>
    <cellStyle name="Comma 2 4 2 2 2 3 3 2" xfId="3041"/>
    <cellStyle name="Comma 2 4 2 2 2 3 4" xfId="3042"/>
    <cellStyle name="Comma 2 4 2 2 2 4" xfId="3043"/>
    <cellStyle name="Comma 2 4 2 2 2 4 2" xfId="3044"/>
    <cellStyle name="Comma 2 4 2 2 2 4 2 2" xfId="3045"/>
    <cellStyle name="Comma 2 4 2 2 2 4 3" xfId="3046"/>
    <cellStyle name="Comma 2 4 2 2 2 5" xfId="3047"/>
    <cellStyle name="Comma 2 4 2 2 2 5 2" xfId="3048"/>
    <cellStyle name="Comma 2 4 2 2 2 5 2 2" xfId="3049"/>
    <cellStyle name="Comma 2 4 2 2 2 5 3" xfId="3050"/>
    <cellStyle name="Comma 2 4 2 2 2 6" xfId="3051"/>
    <cellStyle name="Comma 2 4 2 2 2 6 2" xfId="3052"/>
    <cellStyle name="Comma 2 4 2 2 2 7" xfId="3053"/>
    <cellStyle name="Comma 2 4 2 2 2 7 2" xfId="35942"/>
    <cellStyle name="Comma 2 4 2 2 2 8" xfId="3054"/>
    <cellStyle name="Comma 2 4 2 2 3" xfId="3055"/>
    <cellStyle name="Comma 2 4 2 2 3 2" xfId="3056"/>
    <cellStyle name="Comma 2 4 2 2 3 2 2" xfId="3057"/>
    <cellStyle name="Comma 2 4 2 2 3 2 2 2" xfId="3058"/>
    <cellStyle name="Comma 2 4 2 2 3 2 2 3" xfId="3059"/>
    <cellStyle name="Comma 2 4 2 2 3 2 3" xfId="3060"/>
    <cellStyle name="Comma 2 4 2 2 3 2 3 2" xfId="3061"/>
    <cellStyle name="Comma 2 4 2 2 3 2 4" xfId="3062"/>
    <cellStyle name="Comma 2 4 2 2 3 3" xfId="3063"/>
    <cellStyle name="Comma 2 4 2 2 3 3 2" xfId="3064"/>
    <cellStyle name="Comma 2 4 2 2 3 3 2 2" xfId="3065"/>
    <cellStyle name="Comma 2 4 2 2 3 3 3" xfId="3066"/>
    <cellStyle name="Comma 2 4 2 2 3 4" xfId="3067"/>
    <cellStyle name="Comma 2 4 2 2 3 4 2" xfId="3068"/>
    <cellStyle name="Comma 2 4 2 2 3 4 3" xfId="3069"/>
    <cellStyle name="Comma 2 4 2 2 3 5" xfId="3070"/>
    <cellStyle name="Comma 2 4 2 2 3 5 2" xfId="3071"/>
    <cellStyle name="Comma 2 4 2 2 3 6" xfId="3072"/>
    <cellStyle name="Comma 2 4 2 2 3 6 2" xfId="35943"/>
    <cellStyle name="Comma 2 4 2 2 3 7" xfId="3073"/>
    <cellStyle name="Comma 2 4 2 2 4" xfId="3074"/>
    <cellStyle name="Comma 2 4 2 2 4 2" xfId="3075"/>
    <cellStyle name="Comma 2 4 2 2 4 2 2" xfId="3076"/>
    <cellStyle name="Comma 2 4 2 2 4 2 2 2" xfId="3077"/>
    <cellStyle name="Comma 2 4 2 2 4 2 3" xfId="3078"/>
    <cellStyle name="Comma 2 4 2 2 4 3" xfId="3079"/>
    <cellStyle name="Comma 2 4 2 2 4 3 2" xfId="3080"/>
    <cellStyle name="Comma 2 4 2 2 4 4" xfId="3081"/>
    <cellStyle name="Comma 2 4 2 2 5" xfId="3082"/>
    <cellStyle name="Comma 2 4 2 2 5 2" xfId="3083"/>
    <cellStyle name="Comma 2 4 2 2 5 2 2" xfId="3084"/>
    <cellStyle name="Comma 2 4 2 2 5 3" xfId="3085"/>
    <cellStyle name="Comma 2 4 2 2 6" xfId="3086"/>
    <cellStyle name="Comma 2 4 2 2 6 2" xfId="3087"/>
    <cellStyle name="Comma 2 4 2 2 6 2 2" xfId="3088"/>
    <cellStyle name="Comma 2 4 2 2 6 3" xfId="3089"/>
    <cellStyle name="Comma 2 4 2 2 7" xfId="3090"/>
    <cellStyle name="Comma 2 4 2 2 7 2" xfId="3091"/>
    <cellStyle name="Comma 2 4 2 2 8" xfId="3092"/>
    <cellStyle name="Comma 2 4 2 2 8 2" xfId="35944"/>
    <cellStyle name="Comma 2 4 2 2 9" xfId="3093"/>
    <cellStyle name="Comma 2 4 2 3" xfId="3094"/>
    <cellStyle name="Comma 2 4 2 3 2" xfId="3095"/>
    <cellStyle name="Comma 2 4 2 3 2 2" xfId="3096"/>
    <cellStyle name="Comma 2 4 2 3 2 2 2" xfId="3097"/>
    <cellStyle name="Comma 2 4 2 3 2 2 2 2" xfId="3098"/>
    <cellStyle name="Comma 2 4 2 3 2 2 2 3" xfId="3099"/>
    <cellStyle name="Comma 2 4 2 3 2 2 3" xfId="3100"/>
    <cellStyle name="Comma 2 4 2 3 2 2 3 2" xfId="3101"/>
    <cellStyle name="Comma 2 4 2 3 2 2 4" xfId="3102"/>
    <cellStyle name="Comma 2 4 2 3 2 3" xfId="3103"/>
    <cellStyle name="Comma 2 4 2 3 2 3 2" xfId="3104"/>
    <cellStyle name="Comma 2 4 2 3 2 3 2 2" xfId="3105"/>
    <cellStyle name="Comma 2 4 2 3 2 3 3" xfId="3106"/>
    <cellStyle name="Comma 2 4 2 3 2 4" xfId="3107"/>
    <cellStyle name="Comma 2 4 2 3 2 4 2" xfId="3108"/>
    <cellStyle name="Comma 2 4 2 3 2 4 3" xfId="3109"/>
    <cellStyle name="Comma 2 4 2 3 2 5" xfId="3110"/>
    <cellStyle name="Comma 2 4 2 3 2 5 2" xfId="3111"/>
    <cellStyle name="Comma 2 4 2 3 2 6" xfId="3112"/>
    <cellStyle name="Comma 2 4 2 3 2 6 2" xfId="35945"/>
    <cellStyle name="Comma 2 4 2 3 2 7" xfId="3113"/>
    <cellStyle name="Comma 2 4 2 3 3" xfId="3114"/>
    <cellStyle name="Comma 2 4 2 3 3 2" xfId="3115"/>
    <cellStyle name="Comma 2 4 2 3 3 2 2" xfId="3116"/>
    <cellStyle name="Comma 2 4 2 3 3 2 2 2" xfId="3117"/>
    <cellStyle name="Comma 2 4 2 3 3 2 3" xfId="3118"/>
    <cellStyle name="Comma 2 4 2 3 3 3" xfId="3119"/>
    <cellStyle name="Comma 2 4 2 3 3 3 2" xfId="3120"/>
    <cellStyle name="Comma 2 4 2 3 3 4" xfId="3121"/>
    <cellStyle name="Comma 2 4 2 3 4" xfId="3122"/>
    <cellStyle name="Comma 2 4 2 3 4 2" xfId="3123"/>
    <cellStyle name="Comma 2 4 2 3 4 2 2" xfId="3124"/>
    <cellStyle name="Comma 2 4 2 3 4 3" xfId="3125"/>
    <cellStyle name="Comma 2 4 2 3 5" xfId="3126"/>
    <cellStyle name="Comma 2 4 2 3 5 2" xfId="3127"/>
    <cellStyle name="Comma 2 4 2 3 5 2 2" xfId="3128"/>
    <cellStyle name="Comma 2 4 2 3 5 3" xfId="3129"/>
    <cellStyle name="Comma 2 4 2 3 6" xfId="3130"/>
    <cellStyle name="Comma 2 4 2 3 6 2" xfId="3131"/>
    <cellStyle name="Comma 2 4 2 3 7" xfId="3132"/>
    <cellStyle name="Comma 2 4 2 3 7 2" xfId="35946"/>
    <cellStyle name="Comma 2 4 2 3 8" xfId="3133"/>
    <cellStyle name="Comma 2 4 2 4" xfId="3134"/>
    <cellStyle name="Comma 2 4 2 4 2" xfId="3135"/>
    <cellStyle name="Comma 2 4 2 4 2 2" xfId="3136"/>
    <cellStyle name="Comma 2 4 2 4 2 2 2" xfId="3137"/>
    <cellStyle name="Comma 2 4 2 4 2 2 3" xfId="3138"/>
    <cellStyle name="Comma 2 4 2 4 2 3" xfId="3139"/>
    <cellStyle name="Comma 2 4 2 4 2 3 2" xfId="3140"/>
    <cellStyle name="Comma 2 4 2 4 2 4" xfId="3141"/>
    <cellStyle name="Comma 2 4 2 4 3" xfId="3142"/>
    <cellStyle name="Comma 2 4 2 4 3 2" xfId="3143"/>
    <cellStyle name="Comma 2 4 2 4 3 2 2" xfId="3144"/>
    <cellStyle name="Comma 2 4 2 4 3 3" xfId="3145"/>
    <cellStyle name="Comma 2 4 2 4 4" xfId="3146"/>
    <cellStyle name="Comma 2 4 2 4 4 2" xfId="3147"/>
    <cellStyle name="Comma 2 4 2 4 4 3" xfId="3148"/>
    <cellStyle name="Comma 2 4 2 4 5" xfId="3149"/>
    <cellStyle name="Comma 2 4 2 4 5 2" xfId="3150"/>
    <cellStyle name="Comma 2 4 2 4 6" xfId="3151"/>
    <cellStyle name="Comma 2 4 2 4 6 2" xfId="35947"/>
    <cellStyle name="Comma 2 4 2 4 7" xfId="3152"/>
    <cellStyle name="Comma 2 4 2 5" xfId="3153"/>
    <cellStyle name="Comma 2 4 2 5 2" xfId="3154"/>
    <cellStyle name="Comma 2 4 2 5 2 2" xfId="3155"/>
    <cellStyle name="Comma 2 4 2 5 2 2 2" xfId="3156"/>
    <cellStyle name="Comma 2 4 2 5 2 3" xfId="3157"/>
    <cellStyle name="Comma 2 4 2 5 3" xfId="3158"/>
    <cellStyle name="Comma 2 4 2 5 3 2" xfId="3159"/>
    <cellStyle name="Comma 2 4 2 5 4" xfId="3160"/>
    <cellStyle name="Comma 2 4 2 6" xfId="3161"/>
    <cellStyle name="Comma 2 4 2 6 2" xfId="3162"/>
    <cellStyle name="Comma 2 4 2 6 2 2" xfId="3163"/>
    <cellStyle name="Comma 2 4 2 6 3" xfId="3164"/>
    <cellStyle name="Comma 2 4 2 7" xfId="3165"/>
    <cellStyle name="Comma 2 4 2 7 2" xfId="3166"/>
    <cellStyle name="Comma 2 4 2 7 2 2" xfId="3167"/>
    <cellStyle name="Comma 2 4 2 7 3" xfId="3168"/>
    <cellStyle name="Comma 2 4 2 8" xfId="3169"/>
    <cellStyle name="Comma 2 4 2 8 2" xfId="3170"/>
    <cellStyle name="Comma 2 4 2 9" xfId="3171"/>
    <cellStyle name="Comma 2 4 2 9 2" xfId="35948"/>
    <cellStyle name="Comma 2 4 3" xfId="3172"/>
    <cellStyle name="Comma 2 4 3 2" xfId="3173"/>
    <cellStyle name="Comma 2 4 3 2 2" xfId="3174"/>
    <cellStyle name="Comma 2 4 3 2 2 2" xfId="3175"/>
    <cellStyle name="Comma 2 4 3 2 2 2 2" xfId="3176"/>
    <cellStyle name="Comma 2 4 3 2 2 2 2 2" xfId="3177"/>
    <cellStyle name="Comma 2 4 3 2 2 2 2 3" xfId="3178"/>
    <cellStyle name="Comma 2 4 3 2 2 2 3" xfId="3179"/>
    <cellStyle name="Comma 2 4 3 2 2 2 3 2" xfId="3180"/>
    <cellStyle name="Comma 2 4 3 2 2 2 4" xfId="3181"/>
    <cellStyle name="Comma 2 4 3 2 2 3" xfId="3182"/>
    <cellStyle name="Comma 2 4 3 2 2 3 2" xfId="3183"/>
    <cellStyle name="Comma 2 4 3 2 2 3 2 2" xfId="3184"/>
    <cellStyle name="Comma 2 4 3 2 2 3 3" xfId="3185"/>
    <cellStyle name="Comma 2 4 3 2 2 4" xfId="3186"/>
    <cellStyle name="Comma 2 4 3 2 2 4 2" xfId="3187"/>
    <cellStyle name="Comma 2 4 3 2 2 4 3" xfId="3188"/>
    <cellStyle name="Comma 2 4 3 2 2 5" xfId="3189"/>
    <cellStyle name="Comma 2 4 3 2 2 5 2" xfId="3190"/>
    <cellStyle name="Comma 2 4 3 2 2 6" xfId="3191"/>
    <cellStyle name="Comma 2 4 3 2 2 6 2" xfId="35949"/>
    <cellStyle name="Comma 2 4 3 2 2 7" xfId="3192"/>
    <cellStyle name="Comma 2 4 3 2 3" xfId="3193"/>
    <cellStyle name="Comma 2 4 3 2 3 2" xfId="3194"/>
    <cellStyle name="Comma 2 4 3 2 3 2 2" xfId="3195"/>
    <cellStyle name="Comma 2 4 3 2 3 2 2 2" xfId="3196"/>
    <cellStyle name="Comma 2 4 3 2 3 2 3" xfId="3197"/>
    <cellStyle name="Comma 2 4 3 2 3 3" xfId="3198"/>
    <cellStyle name="Comma 2 4 3 2 3 3 2" xfId="3199"/>
    <cellStyle name="Comma 2 4 3 2 3 4" xfId="3200"/>
    <cellStyle name="Comma 2 4 3 2 4" xfId="3201"/>
    <cellStyle name="Comma 2 4 3 2 4 2" xfId="3202"/>
    <cellStyle name="Comma 2 4 3 2 4 2 2" xfId="3203"/>
    <cellStyle name="Comma 2 4 3 2 4 3" xfId="3204"/>
    <cellStyle name="Comma 2 4 3 2 5" xfId="3205"/>
    <cellStyle name="Comma 2 4 3 2 5 2" xfId="3206"/>
    <cellStyle name="Comma 2 4 3 2 5 2 2" xfId="3207"/>
    <cellStyle name="Comma 2 4 3 2 5 3" xfId="3208"/>
    <cellStyle name="Comma 2 4 3 2 6" xfId="3209"/>
    <cellStyle name="Comma 2 4 3 2 6 2" xfId="3210"/>
    <cellStyle name="Comma 2 4 3 2 7" xfId="3211"/>
    <cellStyle name="Comma 2 4 3 2 7 2" xfId="35950"/>
    <cellStyle name="Comma 2 4 3 2 8" xfId="3212"/>
    <cellStyle name="Comma 2 4 3 3" xfId="3213"/>
    <cellStyle name="Comma 2 4 3 3 2" xfId="3214"/>
    <cellStyle name="Comma 2 4 3 3 2 2" xfId="3215"/>
    <cellStyle name="Comma 2 4 3 3 2 2 2" xfId="3216"/>
    <cellStyle name="Comma 2 4 3 3 2 2 3" xfId="3217"/>
    <cellStyle name="Comma 2 4 3 3 2 3" xfId="3218"/>
    <cellStyle name="Comma 2 4 3 3 2 3 2" xfId="3219"/>
    <cellStyle name="Comma 2 4 3 3 2 4" xfId="3220"/>
    <cellStyle name="Comma 2 4 3 3 3" xfId="3221"/>
    <cellStyle name="Comma 2 4 3 3 3 2" xfId="3222"/>
    <cellStyle name="Comma 2 4 3 3 3 2 2" xfId="3223"/>
    <cellStyle name="Comma 2 4 3 3 3 3" xfId="3224"/>
    <cellStyle name="Comma 2 4 3 3 4" xfId="3225"/>
    <cellStyle name="Comma 2 4 3 3 4 2" xfId="3226"/>
    <cellStyle name="Comma 2 4 3 3 4 3" xfId="3227"/>
    <cellStyle name="Comma 2 4 3 3 5" xfId="3228"/>
    <cellStyle name="Comma 2 4 3 3 5 2" xfId="3229"/>
    <cellStyle name="Comma 2 4 3 3 6" xfId="3230"/>
    <cellStyle name="Comma 2 4 3 3 6 2" xfId="35951"/>
    <cellStyle name="Comma 2 4 3 3 7" xfId="3231"/>
    <cellStyle name="Comma 2 4 3 4" xfId="3232"/>
    <cellStyle name="Comma 2 4 3 4 2" xfId="3233"/>
    <cellStyle name="Comma 2 4 3 4 2 2" xfId="3234"/>
    <cellStyle name="Comma 2 4 3 4 2 2 2" xfId="3235"/>
    <cellStyle name="Comma 2 4 3 4 2 3" xfId="3236"/>
    <cellStyle name="Comma 2 4 3 4 3" xfId="3237"/>
    <cellStyle name="Comma 2 4 3 4 3 2" xfId="3238"/>
    <cellStyle name="Comma 2 4 3 4 4" xfId="3239"/>
    <cellStyle name="Comma 2 4 3 5" xfId="3240"/>
    <cellStyle name="Comma 2 4 3 5 2" xfId="3241"/>
    <cellStyle name="Comma 2 4 3 5 2 2" xfId="3242"/>
    <cellStyle name="Comma 2 4 3 5 3" xfId="3243"/>
    <cellStyle name="Comma 2 4 3 6" xfId="3244"/>
    <cellStyle name="Comma 2 4 3 6 2" xfId="3245"/>
    <cellStyle name="Comma 2 4 3 6 2 2" xfId="3246"/>
    <cellStyle name="Comma 2 4 3 6 3" xfId="3247"/>
    <cellStyle name="Comma 2 4 3 7" xfId="3248"/>
    <cellStyle name="Comma 2 4 3 7 2" xfId="3249"/>
    <cellStyle name="Comma 2 4 3 8" xfId="3250"/>
    <cellStyle name="Comma 2 4 3 8 2" xfId="35952"/>
    <cellStyle name="Comma 2 4 3 9" xfId="3251"/>
    <cellStyle name="Comma 2 4 4" xfId="3252"/>
    <cellStyle name="Comma 2 4 4 2" xfId="3253"/>
    <cellStyle name="Comma 2 4 4 2 2" xfId="3254"/>
    <cellStyle name="Comma 2 4 4 2 2 2" xfId="3255"/>
    <cellStyle name="Comma 2 4 4 2 2 2 2" xfId="3256"/>
    <cellStyle name="Comma 2 4 4 2 2 2 2 2" xfId="3257"/>
    <cellStyle name="Comma 2 4 4 2 2 2 2 3" xfId="3258"/>
    <cellStyle name="Comma 2 4 4 2 2 2 3" xfId="3259"/>
    <cellStyle name="Comma 2 4 4 2 2 2 3 2" xfId="3260"/>
    <cellStyle name="Comma 2 4 4 2 2 2 4" xfId="3261"/>
    <cellStyle name="Comma 2 4 4 2 2 3" xfId="3262"/>
    <cellStyle name="Comma 2 4 4 2 2 3 2" xfId="3263"/>
    <cellStyle name="Comma 2 4 4 2 2 3 2 2" xfId="3264"/>
    <cellStyle name="Comma 2 4 4 2 2 3 3" xfId="3265"/>
    <cellStyle name="Comma 2 4 4 2 2 4" xfId="3266"/>
    <cellStyle name="Comma 2 4 4 2 2 4 2" xfId="3267"/>
    <cellStyle name="Comma 2 4 4 2 2 4 3" xfId="3268"/>
    <cellStyle name="Comma 2 4 4 2 2 5" xfId="3269"/>
    <cellStyle name="Comma 2 4 4 2 2 5 2" xfId="3270"/>
    <cellStyle name="Comma 2 4 4 2 2 6" xfId="3271"/>
    <cellStyle name="Comma 2 4 4 2 2 6 2" xfId="35953"/>
    <cellStyle name="Comma 2 4 4 2 2 7" xfId="3272"/>
    <cellStyle name="Comma 2 4 4 2 3" xfId="3273"/>
    <cellStyle name="Comma 2 4 4 2 3 2" xfId="3274"/>
    <cellStyle name="Comma 2 4 4 2 3 2 2" xfId="3275"/>
    <cellStyle name="Comma 2 4 4 2 3 2 2 2" xfId="3276"/>
    <cellStyle name="Comma 2 4 4 2 3 2 3" xfId="3277"/>
    <cellStyle name="Comma 2 4 4 2 3 3" xfId="3278"/>
    <cellStyle name="Comma 2 4 4 2 3 3 2" xfId="3279"/>
    <cellStyle name="Comma 2 4 4 2 3 4" xfId="3280"/>
    <cellStyle name="Comma 2 4 4 2 4" xfId="3281"/>
    <cellStyle name="Comma 2 4 4 2 4 2" xfId="3282"/>
    <cellStyle name="Comma 2 4 4 2 4 2 2" xfId="3283"/>
    <cellStyle name="Comma 2 4 4 2 4 3" xfId="3284"/>
    <cellStyle name="Comma 2 4 4 2 5" xfId="3285"/>
    <cellStyle name="Comma 2 4 4 2 5 2" xfId="3286"/>
    <cellStyle name="Comma 2 4 4 2 5 2 2" xfId="3287"/>
    <cellStyle name="Comma 2 4 4 2 5 3" xfId="3288"/>
    <cellStyle name="Comma 2 4 4 2 6" xfId="3289"/>
    <cellStyle name="Comma 2 4 4 2 6 2" xfId="3290"/>
    <cellStyle name="Comma 2 4 4 2 7" xfId="3291"/>
    <cellStyle name="Comma 2 4 4 2 7 2" xfId="35954"/>
    <cellStyle name="Comma 2 4 4 2 8" xfId="3292"/>
    <cellStyle name="Comma 2 4 4 3" xfId="3293"/>
    <cellStyle name="Comma 2 4 4 3 2" xfId="3294"/>
    <cellStyle name="Comma 2 4 4 3 2 2" xfId="3295"/>
    <cellStyle name="Comma 2 4 4 3 2 2 2" xfId="3296"/>
    <cellStyle name="Comma 2 4 4 3 2 2 3" xfId="3297"/>
    <cellStyle name="Comma 2 4 4 3 2 3" xfId="3298"/>
    <cellStyle name="Comma 2 4 4 3 2 3 2" xfId="3299"/>
    <cellStyle name="Comma 2 4 4 3 2 4" xfId="3300"/>
    <cellStyle name="Comma 2 4 4 3 3" xfId="3301"/>
    <cellStyle name="Comma 2 4 4 3 3 2" xfId="3302"/>
    <cellStyle name="Comma 2 4 4 3 3 2 2" xfId="3303"/>
    <cellStyle name="Comma 2 4 4 3 3 3" xfId="3304"/>
    <cellStyle name="Comma 2 4 4 3 4" xfId="3305"/>
    <cellStyle name="Comma 2 4 4 3 4 2" xfId="3306"/>
    <cellStyle name="Comma 2 4 4 3 4 3" xfId="3307"/>
    <cellStyle name="Comma 2 4 4 3 5" xfId="3308"/>
    <cellStyle name="Comma 2 4 4 3 5 2" xfId="3309"/>
    <cellStyle name="Comma 2 4 4 3 6" xfId="3310"/>
    <cellStyle name="Comma 2 4 4 3 6 2" xfId="35955"/>
    <cellStyle name="Comma 2 4 4 3 7" xfId="3311"/>
    <cellStyle name="Comma 2 4 4 4" xfId="3312"/>
    <cellStyle name="Comma 2 4 4 4 2" xfId="3313"/>
    <cellStyle name="Comma 2 4 4 4 2 2" xfId="3314"/>
    <cellStyle name="Comma 2 4 4 4 2 2 2" xfId="3315"/>
    <cellStyle name="Comma 2 4 4 4 2 3" xfId="3316"/>
    <cellStyle name="Comma 2 4 4 4 3" xfId="3317"/>
    <cellStyle name="Comma 2 4 4 4 3 2" xfId="3318"/>
    <cellStyle name="Comma 2 4 4 4 4" xfId="3319"/>
    <cellStyle name="Comma 2 4 4 5" xfId="3320"/>
    <cellStyle name="Comma 2 4 4 5 2" xfId="3321"/>
    <cellStyle name="Comma 2 4 4 5 2 2" xfId="3322"/>
    <cellStyle name="Comma 2 4 4 5 3" xfId="3323"/>
    <cellStyle name="Comma 2 4 4 6" xfId="3324"/>
    <cellStyle name="Comma 2 4 4 6 2" xfId="3325"/>
    <cellStyle name="Comma 2 4 4 6 2 2" xfId="3326"/>
    <cellStyle name="Comma 2 4 4 6 3" xfId="3327"/>
    <cellStyle name="Comma 2 4 4 7" xfId="3328"/>
    <cellStyle name="Comma 2 4 4 7 2" xfId="3329"/>
    <cellStyle name="Comma 2 4 4 8" xfId="3330"/>
    <cellStyle name="Comma 2 4 4 8 2" xfId="35956"/>
    <cellStyle name="Comma 2 4 4 9" xfId="3331"/>
    <cellStyle name="Comma 2 4 5" xfId="3332"/>
    <cellStyle name="Comma 2 4 5 2" xfId="3333"/>
    <cellStyle name="Comma 2 4 5 2 2" xfId="3334"/>
    <cellStyle name="Comma 2 4 5 2 2 2" xfId="3335"/>
    <cellStyle name="Comma 2 4 5 2 2 2 2" xfId="3336"/>
    <cellStyle name="Comma 2 4 5 2 2 2 3" xfId="3337"/>
    <cellStyle name="Comma 2 4 5 2 2 3" xfId="3338"/>
    <cellStyle name="Comma 2 4 5 2 2 3 2" xfId="3339"/>
    <cellStyle name="Comma 2 4 5 2 2 4" xfId="3340"/>
    <cellStyle name="Comma 2 4 5 2 3" xfId="3341"/>
    <cellStyle name="Comma 2 4 5 2 3 2" xfId="3342"/>
    <cellStyle name="Comma 2 4 5 2 3 2 2" xfId="3343"/>
    <cellStyle name="Comma 2 4 5 2 3 3" xfId="3344"/>
    <cellStyle name="Comma 2 4 5 2 4" xfId="3345"/>
    <cellStyle name="Comma 2 4 5 2 4 2" xfId="3346"/>
    <cellStyle name="Comma 2 4 5 2 4 3" xfId="3347"/>
    <cellStyle name="Comma 2 4 5 2 5" xfId="3348"/>
    <cellStyle name="Comma 2 4 5 2 5 2" xfId="3349"/>
    <cellStyle name="Comma 2 4 5 2 6" xfId="3350"/>
    <cellStyle name="Comma 2 4 5 2 6 2" xfId="35957"/>
    <cellStyle name="Comma 2 4 5 2 7" xfId="3351"/>
    <cellStyle name="Comma 2 4 5 3" xfId="3352"/>
    <cellStyle name="Comma 2 4 5 3 2" xfId="3353"/>
    <cellStyle name="Comma 2 4 5 3 2 2" xfId="3354"/>
    <cellStyle name="Comma 2 4 5 3 2 2 2" xfId="3355"/>
    <cellStyle name="Comma 2 4 5 3 2 3" xfId="3356"/>
    <cellStyle name="Comma 2 4 5 3 3" xfId="3357"/>
    <cellStyle name="Comma 2 4 5 3 3 2" xfId="3358"/>
    <cellStyle name="Comma 2 4 5 3 4" xfId="3359"/>
    <cellStyle name="Comma 2 4 5 4" xfId="3360"/>
    <cellStyle name="Comma 2 4 5 4 2" xfId="3361"/>
    <cellStyle name="Comma 2 4 5 4 2 2" xfId="3362"/>
    <cellStyle name="Comma 2 4 5 4 3" xfId="3363"/>
    <cellStyle name="Comma 2 4 5 5" xfId="3364"/>
    <cellStyle name="Comma 2 4 5 5 2" xfId="3365"/>
    <cellStyle name="Comma 2 4 5 5 2 2" xfId="3366"/>
    <cellStyle name="Comma 2 4 5 5 3" xfId="3367"/>
    <cellStyle name="Comma 2 4 5 6" xfId="3368"/>
    <cellStyle name="Comma 2 4 5 6 2" xfId="3369"/>
    <cellStyle name="Comma 2 4 5 7" xfId="3370"/>
    <cellStyle name="Comma 2 4 5 7 2" xfId="35958"/>
    <cellStyle name="Comma 2 4 5 8" xfId="3371"/>
    <cellStyle name="Comma 2 4 6" xfId="3372"/>
    <cellStyle name="Comma 2 4 6 2" xfId="3373"/>
    <cellStyle name="Comma 2 4 6 2 2" xfId="3374"/>
    <cellStyle name="Comma 2 4 6 2 2 2" xfId="3375"/>
    <cellStyle name="Comma 2 4 6 2 2 2 2" xfId="3376"/>
    <cellStyle name="Comma 2 4 6 2 2 2 3" xfId="3377"/>
    <cellStyle name="Comma 2 4 6 2 2 3" xfId="3378"/>
    <cellStyle name="Comma 2 4 6 2 2 3 2" xfId="3379"/>
    <cellStyle name="Comma 2 4 6 2 2 4" xfId="3380"/>
    <cellStyle name="Comma 2 4 6 2 3" xfId="3381"/>
    <cellStyle name="Comma 2 4 6 2 3 2" xfId="3382"/>
    <cellStyle name="Comma 2 4 6 2 3 2 2" xfId="3383"/>
    <cellStyle name="Comma 2 4 6 2 3 3" xfId="3384"/>
    <cellStyle name="Comma 2 4 6 2 4" xfId="3385"/>
    <cellStyle name="Comma 2 4 6 2 4 2" xfId="3386"/>
    <cellStyle name="Comma 2 4 6 2 4 3" xfId="3387"/>
    <cellStyle name="Comma 2 4 6 2 5" xfId="3388"/>
    <cellStyle name="Comma 2 4 6 2 5 2" xfId="3389"/>
    <cellStyle name="Comma 2 4 6 2 6" xfId="3390"/>
    <cellStyle name="Comma 2 4 6 2 6 2" xfId="35959"/>
    <cellStyle name="Comma 2 4 6 2 7" xfId="3391"/>
    <cellStyle name="Comma 2 4 6 3" xfId="3392"/>
    <cellStyle name="Comma 2 4 6 3 2" xfId="3393"/>
    <cellStyle name="Comma 2 4 6 3 2 2" xfId="3394"/>
    <cellStyle name="Comma 2 4 6 3 2 2 2" xfId="3395"/>
    <cellStyle name="Comma 2 4 6 3 2 3" xfId="3396"/>
    <cellStyle name="Comma 2 4 6 3 3" xfId="3397"/>
    <cellStyle name="Comma 2 4 6 3 3 2" xfId="3398"/>
    <cellStyle name="Comma 2 4 6 3 4" xfId="3399"/>
    <cellStyle name="Comma 2 4 6 4" xfId="3400"/>
    <cellStyle name="Comma 2 4 6 4 2" xfId="3401"/>
    <cellStyle name="Comma 2 4 6 4 2 2" xfId="3402"/>
    <cellStyle name="Comma 2 4 6 4 3" xfId="3403"/>
    <cellStyle name="Comma 2 4 6 5" xfId="3404"/>
    <cellStyle name="Comma 2 4 6 5 2" xfId="3405"/>
    <cellStyle name="Comma 2 4 6 5 2 2" xfId="3406"/>
    <cellStyle name="Comma 2 4 6 5 3" xfId="3407"/>
    <cellStyle name="Comma 2 4 6 6" xfId="3408"/>
    <cellStyle name="Comma 2 4 6 6 2" xfId="3409"/>
    <cellStyle name="Comma 2 4 6 7" xfId="3410"/>
    <cellStyle name="Comma 2 4 6 7 2" xfId="35960"/>
    <cellStyle name="Comma 2 4 6 8" xfId="3411"/>
    <cellStyle name="Comma 2 4 7" xfId="3412"/>
    <cellStyle name="Comma 2 4 7 2" xfId="3413"/>
    <cellStyle name="Comma 2 4 7 2 2" xfId="3414"/>
    <cellStyle name="Comma 2 4 7 2 2 2" xfId="3415"/>
    <cellStyle name="Comma 2 4 7 2 2 2 2" xfId="3416"/>
    <cellStyle name="Comma 2 4 7 2 2 2 3" xfId="3417"/>
    <cellStyle name="Comma 2 4 7 2 2 3" xfId="3418"/>
    <cellStyle name="Comma 2 4 7 2 2 3 2" xfId="3419"/>
    <cellStyle name="Comma 2 4 7 2 2 4" xfId="3420"/>
    <cellStyle name="Comma 2 4 7 2 3" xfId="3421"/>
    <cellStyle name="Comma 2 4 7 2 3 2" xfId="3422"/>
    <cellStyle name="Comma 2 4 7 2 3 2 2" xfId="3423"/>
    <cellStyle name="Comma 2 4 7 2 3 3" xfId="3424"/>
    <cellStyle name="Comma 2 4 7 2 4" xfId="3425"/>
    <cellStyle name="Comma 2 4 7 2 4 2" xfId="3426"/>
    <cellStyle name="Comma 2 4 7 2 4 3" xfId="3427"/>
    <cellStyle name="Comma 2 4 7 2 5" xfId="3428"/>
    <cellStyle name="Comma 2 4 7 2 5 2" xfId="3429"/>
    <cellStyle name="Comma 2 4 7 2 6" xfId="3430"/>
    <cellStyle name="Comma 2 4 7 2 6 2" xfId="35961"/>
    <cellStyle name="Comma 2 4 7 2 7" xfId="3431"/>
    <cellStyle name="Comma 2 4 7 3" xfId="3432"/>
    <cellStyle name="Comma 2 4 7 3 2" xfId="3433"/>
    <cellStyle name="Comma 2 4 7 3 2 2" xfId="3434"/>
    <cellStyle name="Comma 2 4 7 3 2 2 2" xfId="3435"/>
    <cellStyle name="Comma 2 4 7 3 2 3" xfId="3436"/>
    <cellStyle name="Comma 2 4 7 3 3" xfId="3437"/>
    <cellStyle name="Comma 2 4 7 3 3 2" xfId="3438"/>
    <cellStyle name="Comma 2 4 7 3 4" xfId="3439"/>
    <cellStyle name="Comma 2 4 7 4" xfId="3440"/>
    <cellStyle name="Comma 2 4 7 4 2" xfId="3441"/>
    <cellStyle name="Comma 2 4 7 4 2 2" xfId="3442"/>
    <cellStyle name="Comma 2 4 7 4 3" xfId="3443"/>
    <cellStyle name="Comma 2 4 7 5" xfId="3444"/>
    <cellStyle name="Comma 2 4 7 5 2" xfId="3445"/>
    <cellStyle name="Comma 2 4 7 5 2 2" xfId="3446"/>
    <cellStyle name="Comma 2 4 7 5 3" xfId="3447"/>
    <cellStyle name="Comma 2 4 7 6" xfId="3448"/>
    <cellStyle name="Comma 2 4 7 6 2" xfId="3449"/>
    <cellStyle name="Comma 2 4 7 7" xfId="3450"/>
    <cellStyle name="Comma 2 4 7 7 2" xfId="35962"/>
    <cellStyle name="Comma 2 4 7 8" xfId="3451"/>
    <cellStyle name="Comma 2 4 8" xfId="3452"/>
    <cellStyle name="Comma 2 4 8 2" xfId="3453"/>
    <cellStyle name="Comma 2 4 8 2 2" xfId="3454"/>
    <cellStyle name="Comma 2 4 8 2 2 2" xfId="3455"/>
    <cellStyle name="Comma 2 4 8 2 2 3" xfId="3456"/>
    <cellStyle name="Comma 2 4 8 2 3" xfId="3457"/>
    <cellStyle name="Comma 2 4 8 2 3 2" xfId="3458"/>
    <cellStyle name="Comma 2 4 8 2 4" xfId="3459"/>
    <cellStyle name="Comma 2 4 8 3" xfId="3460"/>
    <cellStyle name="Comma 2 4 8 3 2" xfId="3461"/>
    <cellStyle name="Comma 2 4 8 3 2 2" xfId="3462"/>
    <cellStyle name="Comma 2 4 8 3 3" xfId="3463"/>
    <cellStyle name="Comma 2 4 8 4" xfId="3464"/>
    <cellStyle name="Comma 2 4 8 4 2" xfId="3465"/>
    <cellStyle name="Comma 2 4 8 4 3" xfId="3466"/>
    <cellStyle name="Comma 2 4 8 5" xfId="3467"/>
    <cellStyle name="Comma 2 4 8 5 2" xfId="3468"/>
    <cellStyle name="Comma 2 4 8 6" xfId="3469"/>
    <cellStyle name="Comma 2 4 8 6 2" xfId="35963"/>
    <cellStyle name="Comma 2 4 8 7" xfId="3470"/>
    <cellStyle name="Comma 2 4 9" xfId="3471"/>
    <cellStyle name="Comma 2 4 9 2" xfId="3472"/>
    <cellStyle name="Comma 2 4 9 2 2" xfId="3473"/>
    <cellStyle name="Comma 2 4 9 2 2 2" xfId="3474"/>
    <cellStyle name="Comma 2 4 9 2 3" xfId="3475"/>
    <cellStyle name="Comma 2 4 9 3" xfId="3476"/>
    <cellStyle name="Comma 2 4 9 3 2" xfId="3477"/>
    <cellStyle name="Comma 2 4 9 4" xfId="3478"/>
    <cellStyle name="Comma 2 5" xfId="3479"/>
    <cellStyle name="Comma 2 5 10" xfId="3480"/>
    <cellStyle name="Comma 2 5 10 2" xfId="3481"/>
    <cellStyle name="Comma 2 5 10 2 2" xfId="3482"/>
    <cellStyle name="Comma 2 5 10 3" xfId="3483"/>
    <cellStyle name="Comma 2 5 11" xfId="3484"/>
    <cellStyle name="Comma 2 5 11 2" xfId="3485"/>
    <cellStyle name="Comma 2 5 11 2 2" xfId="3486"/>
    <cellStyle name="Comma 2 5 11 3" xfId="3487"/>
    <cellStyle name="Comma 2 5 12" xfId="3488"/>
    <cellStyle name="Comma 2 5 12 2" xfId="3489"/>
    <cellStyle name="Comma 2 5 13" xfId="3490"/>
    <cellStyle name="Comma 2 5 13 2" xfId="35964"/>
    <cellStyle name="Comma 2 5 14" xfId="3491"/>
    <cellStyle name="Comma 2 5 2" xfId="3492"/>
    <cellStyle name="Comma 2 5 2 10" xfId="3493"/>
    <cellStyle name="Comma 2 5 2 2" xfId="3494"/>
    <cellStyle name="Comma 2 5 2 2 2" xfId="3495"/>
    <cellStyle name="Comma 2 5 2 2 2 2" xfId="3496"/>
    <cellStyle name="Comma 2 5 2 2 2 2 2" xfId="3497"/>
    <cellStyle name="Comma 2 5 2 2 2 2 2 2" xfId="3498"/>
    <cellStyle name="Comma 2 5 2 2 2 2 2 2 2" xfId="3499"/>
    <cellStyle name="Comma 2 5 2 2 2 2 2 2 3" xfId="3500"/>
    <cellStyle name="Comma 2 5 2 2 2 2 2 3" xfId="3501"/>
    <cellStyle name="Comma 2 5 2 2 2 2 2 3 2" xfId="3502"/>
    <cellStyle name="Comma 2 5 2 2 2 2 2 4" xfId="3503"/>
    <cellStyle name="Comma 2 5 2 2 2 2 3" xfId="3504"/>
    <cellStyle name="Comma 2 5 2 2 2 2 3 2" xfId="3505"/>
    <cellStyle name="Comma 2 5 2 2 2 2 3 2 2" xfId="3506"/>
    <cellStyle name="Comma 2 5 2 2 2 2 3 3" xfId="3507"/>
    <cellStyle name="Comma 2 5 2 2 2 2 4" xfId="3508"/>
    <cellStyle name="Comma 2 5 2 2 2 2 4 2" xfId="3509"/>
    <cellStyle name="Comma 2 5 2 2 2 2 4 3" xfId="3510"/>
    <cellStyle name="Comma 2 5 2 2 2 2 5" xfId="3511"/>
    <cellStyle name="Comma 2 5 2 2 2 2 5 2" xfId="3512"/>
    <cellStyle name="Comma 2 5 2 2 2 2 6" xfId="3513"/>
    <cellStyle name="Comma 2 5 2 2 2 2 6 2" xfId="35965"/>
    <cellStyle name="Comma 2 5 2 2 2 2 7" xfId="3514"/>
    <cellStyle name="Comma 2 5 2 2 2 3" xfId="3515"/>
    <cellStyle name="Comma 2 5 2 2 2 3 2" xfId="3516"/>
    <cellStyle name="Comma 2 5 2 2 2 3 2 2" xfId="3517"/>
    <cellStyle name="Comma 2 5 2 2 2 3 2 2 2" xfId="3518"/>
    <cellStyle name="Comma 2 5 2 2 2 3 2 3" xfId="3519"/>
    <cellStyle name="Comma 2 5 2 2 2 3 3" xfId="3520"/>
    <cellStyle name="Comma 2 5 2 2 2 3 3 2" xfId="3521"/>
    <cellStyle name="Comma 2 5 2 2 2 3 4" xfId="3522"/>
    <cellStyle name="Comma 2 5 2 2 2 4" xfId="3523"/>
    <cellStyle name="Comma 2 5 2 2 2 4 2" xfId="3524"/>
    <cellStyle name="Comma 2 5 2 2 2 4 2 2" xfId="3525"/>
    <cellStyle name="Comma 2 5 2 2 2 4 3" xfId="3526"/>
    <cellStyle name="Comma 2 5 2 2 2 5" xfId="3527"/>
    <cellStyle name="Comma 2 5 2 2 2 5 2" xfId="3528"/>
    <cellStyle name="Comma 2 5 2 2 2 5 2 2" xfId="3529"/>
    <cellStyle name="Comma 2 5 2 2 2 5 3" xfId="3530"/>
    <cellStyle name="Comma 2 5 2 2 2 6" xfId="3531"/>
    <cellStyle name="Comma 2 5 2 2 2 6 2" xfId="3532"/>
    <cellStyle name="Comma 2 5 2 2 2 7" xfId="3533"/>
    <cellStyle name="Comma 2 5 2 2 2 7 2" xfId="35966"/>
    <cellStyle name="Comma 2 5 2 2 2 8" xfId="3534"/>
    <cellStyle name="Comma 2 5 2 2 3" xfId="3535"/>
    <cellStyle name="Comma 2 5 2 2 3 2" xfId="3536"/>
    <cellStyle name="Comma 2 5 2 2 3 2 2" xfId="3537"/>
    <cellStyle name="Comma 2 5 2 2 3 2 2 2" xfId="3538"/>
    <cellStyle name="Comma 2 5 2 2 3 2 2 3" xfId="3539"/>
    <cellStyle name="Comma 2 5 2 2 3 2 3" xfId="3540"/>
    <cellStyle name="Comma 2 5 2 2 3 2 3 2" xfId="3541"/>
    <cellStyle name="Comma 2 5 2 2 3 2 4" xfId="3542"/>
    <cellStyle name="Comma 2 5 2 2 3 3" xfId="3543"/>
    <cellStyle name="Comma 2 5 2 2 3 3 2" xfId="3544"/>
    <cellStyle name="Comma 2 5 2 2 3 3 2 2" xfId="3545"/>
    <cellStyle name="Comma 2 5 2 2 3 3 3" xfId="3546"/>
    <cellStyle name="Comma 2 5 2 2 3 4" xfId="3547"/>
    <cellStyle name="Comma 2 5 2 2 3 4 2" xfId="3548"/>
    <cellStyle name="Comma 2 5 2 2 3 4 3" xfId="3549"/>
    <cellStyle name="Comma 2 5 2 2 3 5" xfId="3550"/>
    <cellStyle name="Comma 2 5 2 2 3 5 2" xfId="3551"/>
    <cellStyle name="Comma 2 5 2 2 3 6" xfId="3552"/>
    <cellStyle name="Comma 2 5 2 2 3 6 2" xfId="35967"/>
    <cellStyle name="Comma 2 5 2 2 3 7" xfId="3553"/>
    <cellStyle name="Comma 2 5 2 2 4" xfId="3554"/>
    <cellStyle name="Comma 2 5 2 2 4 2" xfId="3555"/>
    <cellStyle name="Comma 2 5 2 2 4 2 2" xfId="3556"/>
    <cellStyle name="Comma 2 5 2 2 4 2 2 2" xfId="3557"/>
    <cellStyle name="Comma 2 5 2 2 4 2 3" xfId="3558"/>
    <cellStyle name="Comma 2 5 2 2 4 3" xfId="3559"/>
    <cellStyle name="Comma 2 5 2 2 4 3 2" xfId="3560"/>
    <cellStyle name="Comma 2 5 2 2 4 4" xfId="3561"/>
    <cellStyle name="Comma 2 5 2 2 5" xfId="3562"/>
    <cellStyle name="Comma 2 5 2 2 5 2" xfId="3563"/>
    <cellStyle name="Comma 2 5 2 2 5 2 2" xfId="3564"/>
    <cellStyle name="Comma 2 5 2 2 5 3" xfId="3565"/>
    <cellStyle name="Comma 2 5 2 2 6" xfId="3566"/>
    <cellStyle name="Comma 2 5 2 2 6 2" xfId="3567"/>
    <cellStyle name="Comma 2 5 2 2 6 2 2" xfId="3568"/>
    <cellStyle name="Comma 2 5 2 2 6 3" xfId="3569"/>
    <cellStyle name="Comma 2 5 2 2 7" xfId="3570"/>
    <cellStyle name="Comma 2 5 2 2 7 2" xfId="3571"/>
    <cellStyle name="Comma 2 5 2 2 8" xfId="3572"/>
    <cellStyle name="Comma 2 5 2 2 8 2" xfId="35968"/>
    <cellStyle name="Comma 2 5 2 2 9" xfId="3573"/>
    <cellStyle name="Comma 2 5 2 3" xfId="3574"/>
    <cellStyle name="Comma 2 5 2 3 2" xfId="3575"/>
    <cellStyle name="Comma 2 5 2 3 2 2" xfId="3576"/>
    <cellStyle name="Comma 2 5 2 3 2 2 2" xfId="3577"/>
    <cellStyle name="Comma 2 5 2 3 2 2 2 2" xfId="3578"/>
    <cellStyle name="Comma 2 5 2 3 2 2 2 3" xfId="3579"/>
    <cellStyle name="Comma 2 5 2 3 2 2 3" xfId="3580"/>
    <cellStyle name="Comma 2 5 2 3 2 2 3 2" xfId="3581"/>
    <cellStyle name="Comma 2 5 2 3 2 2 4" xfId="3582"/>
    <cellStyle name="Comma 2 5 2 3 2 3" xfId="3583"/>
    <cellStyle name="Comma 2 5 2 3 2 3 2" xfId="3584"/>
    <cellStyle name="Comma 2 5 2 3 2 3 2 2" xfId="3585"/>
    <cellStyle name="Comma 2 5 2 3 2 3 3" xfId="3586"/>
    <cellStyle name="Comma 2 5 2 3 2 4" xfId="3587"/>
    <cellStyle name="Comma 2 5 2 3 2 4 2" xfId="3588"/>
    <cellStyle name="Comma 2 5 2 3 2 4 3" xfId="3589"/>
    <cellStyle name="Comma 2 5 2 3 2 5" xfId="3590"/>
    <cellStyle name="Comma 2 5 2 3 2 5 2" xfId="3591"/>
    <cellStyle name="Comma 2 5 2 3 2 6" xfId="3592"/>
    <cellStyle name="Comma 2 5 2 3 2 6 2" xfId="35969"/>
    <cellStyle name="Comma 2 5 2 3 2 7" xfId="3593"/>
    <cellStyle name="Comma 2 5 2 3 3" xfId="3594"/>
    <cellStyle name="Comma 2 5 2 3 3 2" xfId="3595"/>
    <cellStyle name="Comma 2 5 2 3 3 2 2" xfId="3596"/>
    <cellStyle name="Comma 2 5 2 3 3 2 2 2" xfId="3597"/>
    <cellStyle name="Comma 2 5 2 3 3 2 3" xfId="3598"/>
    <cellStyle name="Comma 2 5 2 3 3 3" xfId="3599"/>
    <cellStyle name="Comma 2 5 2 3 3 3 2" xfId="3600"/>
    <cellStyle name="Comma 2 5 2 3 3 4" xfId="3601"/>
    <cellStyle name="Comma 2 5 2 3 4" xfId="3602"/>
    <cellStyle name="Comma 2 5 2 3 4 2" xfId="3603"/>
    <cellStyle name="Comma 2 5 2 3 4 2 2" xfId="3604"/>
    <cellStyle name="Comma 2 5 2 3 4 3" xfId="3605"/>
    <cellStyle name="Comma 2 5 2 3 5" xfId="3606"/>
    <cellStyle name="Comma 2 5 2 3 5 2" xfId="3607"/>
    <cellStyle name="Comma 2 5 2 3 5 2 2" xfId="3608"/>
    <cellStyle name="Comma 2 5 2 3 5 3" xfId="3609"/>
    <cellStyle name="Comma 2 5 2 3 6" xfId="3610"/>
    <cellStyle name="Comma 2 5 2 3 6 2" xfId="3611"/>
    <cellStyle name="Comma 2 5 2 3 7" xfId="3612"/>
    <cellStyle name="Comma 2 5 2 3 7 2" xfId="35970"/>
    <cellStyle name="Comma 2 5 2 3 8" xfId="3613"/>
    <cellStyle name="Comma 2 5 2 4" xfId="3614"/>
    <cellStyle name="Comma 2 5 2 4 2" xfId="3615"/>
    <cellStyle name="Comma 2 5 2 4 2 2" xfId="3616"/>
    <cellStyle name="Comma 2 5 2 4 2 2 2" xfId="3617"/>
    <cellStyle name="Comma 2 5 2 4 2 2 3" xfId="3618"/>
    <cellStyle name="Comma 2 5 2 4 2 3" xfId="3619"/>
    <cellStyle name="Comma 2 5 2 4 2 3 2" xfId="3620"/>
    <cellStyle name="Comma 2 5 2 4 2 4" xfId="3621"/>
    <cellStyle name="Comma 2 5 2 4 3" xfId="3622"/>
    <cellStyle name="Comma 2 5 2 4 3 2" xfId="3623"/>
    <cellStyle name="Comma 2 5 2 4 3 2 2" xfId="3624"/>
    <cellStyle name="Comma 2 5 2 4 3 3" xfId="3625"/>
    <cellStyle name="Comma 2 5 2 4 4" xfId="3626"/>
    <cellStyle name="Comma 2 5 2 4 4 2" xfId="3627"/>
    <cellStyle name="Comma 2 5 2 4 4 3" xfId="3628"/>
    <cellStyle name="Comma 2 5 2 4 5" xfId="3629"/>
    <cellStyle name="Comma 2 5 2 4 5 2" xfId="3630"/>
    <cellStyle name="Comma 2 5 2 4 6" xfId="3631"/>
    <cellStyle name="Comma 2 5 2 4 6 2" xfId="35971"/>
    <cellStyle name="Comma 2 5 2 4 7" xfId="3632"/>
    <cellStyle name="Comma 2 5 2 5" xfId="3633"/>
    <cellStyle name="Comma 2 5 2 5 2" xfId="3634"/>
    <cellStyle name="Comma 2 5 2 5 2 2" xfId="3635"/>
    <cellStyle name="Comma 2 5 2 5 2 2 2" xfId="3636"/>
    <cellStyle name="Comma 2 5 2 5 2 3" xfId="3637"/>
    <cellStyle name="Comma 2 5 2 5 3" xfId="3638"/>
    <cellStyle name="Comma 2 5 2 5 3 2" xfId="3639"/>
    <cellStyle name="Comma 2 5 2 5 4" xfId="3640"/>
    <cellStyle name="Comma 2 5 2 6" xfId="3641"/>
    <cellStyle name="Comma 2 5 2 6 2" xfId="3642"/>
    <cellStyle name="Comma 2 5 2 6 2 2" xfId="3643"/>
    <cellStyle name="Comma 2 5 2 6 3" xfId="3644"/>
    <cellStyle name="Comma 2 5 2 7" xfId="3645"/>
    <cellStyle name="Comma 2 5 2 7 2" xfId="3646"/>
    <cellStyle name="Comma 2 5 2 7 2 2" xfId="3647"/>
    <cellStyle name="Comma 2 5 2 7 3" xfId="3648"/>
    <cellStyle name="Comma 2 5 2 8" xfId="3649"/>
    <cellStyle name="Comma 2 5 2 8 2" xfId="3650"/>
    <cellStyle name="Comma 2 5 2 9" xfId="3651"/>
    <cellStyle name="Comma 2 5 2 9 2" xfId="35972"/>
    <cellStyle name="Comma 2 5 3" xfId="3652"/>
    <cellStyle name="Comma 2 5 3 2" xfId="3653"/>
    <cellStyle name="Comma 2 5 3 2 2" xfId="3654"/>
    <cellStyle name="Comma 2 5 3 2 2 2" xfId="3655"/>
    <cellStyle name="Comma 2 5 3 2 2 2 2" xfId="3656"/>
    <cellStyle name="Comma 2 5 3 2 2 2 2 2" xfId="3657"/>
    <cellStyle name="Comma 2 5 3 2 2 2 2 3" xfId="3658"/>
    <cellStyle name="Comma 2 5 3 2 2 2 3" xfId="3659"/>
    <cellStyle name="Comma 2 5 3 2 2 2 3 2" xfId="3660"/>
    <cellStyle name="Comma 2 5 3 2 2 2 4" xfId="3661"/>
    <cellStyle name="Comma 2 5 3 2 2 3" xfId="3662"/>
    <cellStyle name="Comma 2 5 3 2 2 3 2" xfId="3663"/>
    <cellStyle name="Comma 2 5 3 2 2 3 2 2" xfId="3664"/>
    <cellStyle name="Comma 2 5 3 2 2 3 3" xfId="3665"/>
    <cellStyle name="Comma 2 5 3 2 2 4" xfId="3666"/>
    <cellStyle name="Comma 2 5 3 2 2 4 2" xfId="3667"/>
    <cellStyle name="Comma 2 5 3 2 2 4 3" xfId="3668"/>
    <cellStyle name="Comma 2 5 3 2 2 5" xfId="3669"/>
    <cellStyle name="Comma 2 5 3 2 2 5 2" xfId="3670"/>
    <cellStyle name="Comma 2 5 3 2 2 6" xfId="3671"/>
    <cellStyle name="Comma 2 5 3 2 2 6 2" xfId="35973"/>
    <cellStyle name="Comma 2 5 3 2 2 7" xfId="3672"/>
    <cellStyle name="Comma 2 5 3 2 3" xfId="3673"/>
    <cellStyle name="Comma 2 5 3 2 3 2" xfId="3674"/>
    <cellStyle name="Comma 2 5 3 2 3 2 2" xfId="3675"/>
    <cellStyle name="Comma 2 5 3 2 3 2 2 2" xfId="3676"/>
    <cellStyle name="Comma 2 5 3 2 3 2 3" xfId="3677"/>
    <cellStyle name="Comma 2 5 3 2 3 3" xfId="3678"/>
    <cellStyle name="Comma 2 5 3 2 3 3 2" xfId="3679"/>
    <cellStyle name="Comma 2 5 3 2 3 4" xfId="3680"/>
    <cellStyle name="Comma 2 5 3 2 4" xfId="3681"/>
    <cellStyle name="Comma 2 5 3 2 4 2" xfId="3682"/>
    <cellStyle name="Comma 2 5 3 2 4 2 2" xfId="3683"/>
    <cellStyle name="Comma 2 5 3 2 4 3" xfId="3684"/>
    <cellStyle name="Comma 2 5 3 2 5" xfId="3685"/>
    <cellStyle name="Comma 2 5 3 2 5 2" xfId="3686"/>
    <cellStyle name="Comma 2 5 3 2 5 2 2" xfId="3687"/>
    <cellStyle name="Comma 2 5 3 2 5 3" xfId="3688"/>
    <cellStyle name="Comma 2 5 3 2 6" xfId="3689"/>
    <cellStyle name="Comma 2 5 3 2 6 2" xfId="3690"/>
    <cellStyle name="Comma 2 5 3 2 7" xfId="3691"/>
    <cellStyle name="Comma 2 5 3 2 7 2" xfId="35974"/>
    <cellStyle name="Comma 2 5 3 2 8" xfId="3692"/>
    <cellStyle name="Comma 2 5 3 3" xfId="3693"/>
    <cellStyle name="Comma 2 5 3 3 2" xfId="3694"/>
    <cellStyle name="Comma 2 5 3 3 2 2" xfId="3695"/>
    <cellStyle name="Comma 2 5 3 3 2 2 2" xfId="3696"/>
    <cellStyle name="Comma 2 5 3 3 2 2 3" xfId="3697"/>
    <cellStyle name="Comma 2 5 3 3 2 3" xfId="3698"/>
    <cellStyle name="Comma 2 5 3 3 2 3 2" xfId="3699"/>
    <cellStyle name="Comma 2 5 3 3 2 4" xfId="3700"/>
    <cellStyle name="Comma 2 5 3 3 3" xfId="3701"/>
    <cellStyle name="Comma 2 5 3 3 3 2" xfId="3702"/>
    <cellStyle name="Comma 2 5 3 3 3 2 2" xfId="3703"/>
    <cellStyle name="Comma 2 5 3 3 3 3" xfId="3704"/>
    <cellStyle name="Comma 2 5 3 3 4" xfId="3705"/>
    <cellStyle name="Comma 2 5 3 3 4 2" xfId="3706"/>
    <cellStyle name="Comma 2 5 3 3 4 3" xfId="3707"/>
    <cellStyle name="Comma 2 5 3 3 5" xfId="3708"/>
    <cellStyle name="Comma 2 5 3 3 5 2" xfId="3709"/>
    <cellStyle name="Comma 2 5 3 3 6" xfId="3710"/>
    <cellStyle name="Comma 2 5 3 3 6 2" xfId="35975"/>
    <cellStyle name="Comma 2 5 3 3 7" xfId="3711"/>
    <cellStyle name="Comma 2 5 3 4" xfId="3712"/>
    <cellStyle name="Comma 2 5 3 4 2" xfId="3713"/>
    <cellStyle name="Comma 2 5 3 4 2 2" xfId="3714"/>
    <cellStyle name="Comma 2 5 3 4 2 2 2" xfId="3715"/>
    <cellStyle name="Comma 2 5 3 4 2 3" xfId="3716"/>
    <cellStyle name="Comma 2 5 3 4 3" xfId="3717"/>
    <cellStyle name="Comma 2 5 3 4 3 2" xfId="3718"/>
    <cellStyle name="Comma 2 5 3 4 4" xfId="3719"/>
    <cellStyle name="Comma 2 5 3 5" xfId="3720"/>
    <cellStyle name="Comma 2 5 3 5 2" xfId="3721"/>
    <cellStyle name="Comma 2 5 3 5 2 2" xfId="3722"/>
    <cellStyle name="Comma 2 5 3 5 3" xfId="3723"/>
    <cellStyle name="Comma 2 5 3 6" xfId="3724"/>
    <cellStyle name="Comma 2 5 3 6 2" xfId="3725"/>
    <cellStyle name="Comma 2 5 3 6 2 2" xfId="3726"/>
    <cellStyle name="Comma 2 5 3 6 3" xfId="3727"/>
    <cellStyle name="Comma 2 5 3 7" xfId="3728"/>
    <cellStyle name="Comma 2 5 3 7 2" xfId="3729"/>
    <cellStyle name="Comma 2 5 3 8" xfId="3730"/>
    <cellStyle name="Comma 2 5 3 8 2" xfId="35976"/>
    <cellStyle name="Comma 2 5 3 9" xfId="3731"/>
    <cellStyle name="Comma 2 5 4" xfId="3732"/>
    <cellStyle name="Comma 2 5 4 2" xfId="3733"/>
    <cellStyle name="Comma 2 5 4 2 2" xfId="3734"/>
    <cellStyle name="Comma 2 5 4 2 2 2" xfId="3735"/>
    <cellStyle name="Comma 2 5 4 2 2 2 2" xfId="3736"/>
    <cellStyle name="Comma 2 5 4 2 2 2 2 2" xfId="3737"/>
    <cellStyle name="Comma 2 5 4 2 2 2 2 3" xfId="3738"/>
    <cellStyle name="Comma 2 5 4 2 2 2 3" xfId="3739"/>
    <cellStyle name="Comma 2 5 4 2 2 2 3 2" xfId="3740"/>
    <cellStyle name="Comma 2 5 4 2 2 2 4" xfId="3741"/>
    <cellStyle name="Comma 2 5 4 2 2 3" xfId="3742"/>
    <cellStyle name="Comma 2 5 4 2 2 3 2" xfId="3743"/>
    <cellStyle name="Comma 2 5 4 2 2 3 2 2" xfId="3744"/>
    <cellStyle name="Comma 2 5 4 2 2 3 3" xfId="3745"/>
    <cellStyle name="Comma 2 5 4 2 2 4" xfId="3746"/>
    <cellStyle name="Comma 2 5 4 2 2 4 2" xfId="3747"/>
    <cellStyle name="Comma 2 5 4 2 2 4 3" xfId="3748"/>
    <cellStyle name="Comma 2 5 4 2 2 5" xfId="3749"/>
    <cellStyle name="Comma 2 5 4 2 2 5 2" xfId="3750"/>
    <cellStyle name="Comma 2 5 4 2 2 6" xfId="3751"/>
    <cellStyle name="Comma 2 5 4 2 2 6 2" xfId="35977"/>
    <cellStyle name="Comma 2 5 4 2 2 7" xfId="3752"/>
    <cellStyle name="Comma 2 5 4 2 3" xfId="3753"/>
    <cellStyle name="Comma 2 5 4 2 3 2" xfId="3754"/>
    <cellStyle name="Comma 2 5 4 2 3 2 2" xfId="3755"/>
    <cellStyle name="Comma 2 5 4 2 3 2 2 2" xfId="3756"/>
    <cellStyle name="Comma 2 5 4 2 3 2 3" xfId="3757"/>
    <cellStyle name="Comma 2 5 4 2 3 3" xfId="3758"/>
    <cellStyle name="Comma 2 5 4 2 3 3 2" xfId="3759"/>
    <cellStyle name="Comma 2 5 4 2 3 4" xfId="3760"/>
    <cellStyle name="Comma 2 5 4 2 4" xfId="3761"/>
    <cellStyle name="Comma 2 5 4 2 4 2" xfId="3762"/>
    <cellStyle name="Comma 2 5 4 2 4 2 2" xfId="3763"/>
    <cellStyle name="Comma 2 5 4 2 4 3" xfId="3764"/>
    <cellStyle name="Comma 2 5 4 2 5" xfId="3765"/>
    <cellStyle name="Comma 2 5 4 2 5 2" xfId="3766"/>
    <cellStyle name="Comma 2 5 4 2 5 2 2" xfId="3767"/>
    <cellStyle name="Comma 2 5 4 2 5 3" xfId="3768"/>
    <cellStyle name="Comma 2 5 4 2 6" xfId="3769"/>
    <cellStyle name="Comma 2 5 4 2 6 2" xfId="3770"/>
    <cellStyle name="Comma 2 5 4 2 7" xfId="3771"/>
    <cellStyle name="Comma 2 5 4 2 7 2" xfId="35978"/>
    <cellStyle name="Comma 2 5 4 2 8" xfId="3772"/>
    <cellStyle name="Comma 2 5 4 3" xfId="3773"/>
    <cellStyle name="Comma 2 5 4 3 2" xfId="3774"/>
    <cellStyle name="Comma 2 5 4 3 2 2" xfId="3775"/>
    <cellStyle name="Comma 2 5 4 3 2 2 2" xfId="3776"/>
    <cellStyle name="Comma 2 5 4 3 2 2 3" xfId="3777"/>
    <cellStyle name="Comma 2 5 4 3 2 3" xfId="3778"/>
    <cellStyle name="Comma 2 5 4 3 2 3 2" xfId="3779"/>
    <cellStyle name="Comma 2 5 4 3 2 4" xfId="3780"/>
    <cellStyle name="Comma 2 5 4 3 3" xfId="3781"/>
    <cellStyle name="Comma 2 5 4 3 3 2" xfId="3782"/>
    <cellStyle name="Comma 2 5 4 3 3 2 2" xfId="3783"/>
    <cellStyle name="Comma 2 5 4 3 3 3" xfId="3784"/>
    <cellStyle name="Comma 2 5 4 3 4" xfId="3785"/>
    <cellStyle name="Comma 2 5 4 3 4 2" xfId="3786"/>
    <cellStyle name="Comma 2 5 4 3 4 3" xfId="3787"/>
    <cellStyle name="Comma 2 5 4 3 5" xfId="3788"/>
    <cellStyle name="Comma 2 5 4 3 5 2" xfId="3789"/>
    <cellStyle name="Comma 2 5 4 3 6" xfId="3790"/>
    <cellStyle name="Comma 2 5 4 3 6 2" xfId="35979"/>
    <cellStyle name="Comma 2 5 4 3 7" xfId="3791"/>
    <cellStyle name="Comma 2 5 4 4" xfId="3792"/>
    <cellStyle name="Comma 2 5 4 4 2" xfId="3793"/>
    <cellStyle name="Comma 2 5 4 4 2 2" xfId="3794"/>
    <cellStyle name="Comma 2 5 4 4 2 2 2" xfId="3795"/>
    <cellStyle name="Comma 2 5 4 4 2 3" xfId="3796"/>
    <cellStyle name="Comma 2 5 4 4 3" xfId="3797"/>
    <cellStyle name="Comma 2 5 4 4 3 2" xfId="3798"/>
    <cellStyle name="Comma 2 5 4 4 4" xfId="3799"/>
    <cellStyle name="Comma 2 5 4 5" xfId="3800"/>
    <cellStyle name="Comma 2 5 4 5 2" xfId="3801"/>
    <cellStyle name="Comma 2 5 4 5 2 2" xfId="3802"/>
    <cellStyle name="Comma 2 5 4 5 3" xfId="3803"/>
    <cellStyle name="Comma 2 5 4 6" xfId="3804"/>
    <cellStyle name="Comma 2 5 4 6 2" xfId="3805"/>
    <cellStyle name="Comma 2 5 4 6 2 2" xfId="3806"/>
    <cellStyle name="Comma 2 5 4 6 3" xfId="3807"/>
    <cellStyle name="Comma 2 5 4 7" xfId="3808"/>
    <cellStyle name="Comma 2 5 4 7 2" xfId="3809"/>
    <cellStyle name="Comma 2 5 4 8" xfId="3810"/>
    <cellStyle name="Comma 2 5 4 8 2" xfId="35980"/>
    <cellStyle name="Comma 2 5 4 9" xfId="3811"/>
    <cellStyle name="Comma 2 5 5" xfId="3812"/>
    <cellStyle name="Comma 2 5 5 2" xfId="3813"/>
    <cellStyle name="Comma 2 5 5 2 2" xfId="3814"/>
    <cellStyle name="Comma 2 5 5 2 2 2" xfId="3815"/>
    <cellStyle name="Comma 2 5 5 2 2 2 2" xfId="3816"/>
    <cellStyle name="Comma 2 5 5 2 2 2 3" xfId="3817"/>
    <cellStyle name="Comma 2 5 5 2 2 3" xfId="3818"/>
    <cellStyle name="Comma 2 5 5 2 2 3 2" xfId="3819"/>
    <cellStyle name="Comma 2 5 5 2 2 4" xfId="3820"/>
    <cellStyle name="Comma 2 5 5 2 3" xfId="3821"/>
    <cellStyle name="Comma 2 5 5 2 3 2" xfId="3822"/>
    <cellStyle name="Comma 2 5 5 2 3 2 2" xfId="3823"/>
    <cellStyle name="Comma 2 5 5 2 3 3" xfId="3824"/>
    <cellStyle name="Comma 2 5 5 2 4" xfId="3825"/>
    <cellStyle name="Comma 2 5 5 2 4 2" xfId="3826"/>
    <cellStyle name="Comma 2 5 5 2 4 3" xfId="3827"/>
    <cellStyle name="Comma 2 5 5 2 5" xfId="3828"/>
    <cellStyle name="Comma 2 5 5 2 5 2" xfId="3829"/>
    <cellStyle name="Comma 2 5 5 2 6" xfId="3830"/>
    <cellStyle name="Comma 2 5 5 2 6 2" xfId="35981"/>
    <cellStyle name="Comma 2 5 5 2 7" xfId="3831"/>
    <cellStyle name="Comma 2 5 5 3" xfId="3832"/>
    <cellStyle name="Comma 2 5 5 3 2" xfId="3833"/>
    <cellStyle name="Comma 2 5 5 3 2 2" xfId="3834"/>
    <cellStyle name="Comma 2 5 5 3 2 2 2" xfId="3835"/>
    <cellStyle name="Comma 2 5 5 3 2 3" xfId="3836"/>
    <cellStyle name="Comma 2 5 5 3 3" xfId="3837"/>
    <cellStyle name="Comma 2 5 5 3 3 2" xfId="3838"/>
    <cellStyle name="Comma 2 5 5 3 4" xfId="3839"/>
    <cellStyle name="Comma 2 5 5 4" xfId="3840"/>
    <cellStyle name="Comma 2 5 5 4 2" xfId="3841"/>
    <cellStyle name="Comma 2 5 5 4 2 2" xfId="3842"/>
    <cellStyle name="Comma 2 5 5 4 3" xfId="3843"/>
    <cellStyle name="Comma 2 5 5 5" xfId="3844"/>
    <cellStyle name="Comma 2 5 5 5 2" xfId="3845"/>
    <cellStyle name="Comma 2 5 5 5 2 2" xfId="3846"/>
    <cellStyle name="Comma 2 5 5 5 3" xfId="3847"/>
    <cellStyle name="Comma 2 5 5 6" xfId="3848"/>
    <cellStyle name="Comma 2 5 5 6 2" xfId="3849"/>
    <cellStyle name="Comma 2 5 5 7" xfId="3850"/>
    <cellStyle name="Comma 2 5 5 7 2" xfId="35982"/>
    <cellStyle name="Comma 2 5 5 8" xfId="3851"/>
    <cellStyle name="Comma 2 5 6" xfId="3852"/>
    <cellStyle name="Comma 2 5 6 2" xfId="3853"/>
    <cellStyle name="Comma 2 5 6 2 2" xfId="3854"/>
    <cellStyle name="Comma 2 5 6 2 2 2" xfId="3855"/>
    <cellStyle name="Comma 2 5 6 2 2 2 2" xfId="3856"/>
    <cellStyle name="Comma 2 5 6 2 2 2 3" xfId="3857"/>
    <cellStyle name="Comma 2 5 6 2 2 3" xfId="3858"/>
    <cellStyle name="Comma 2 5 6 2 2 3 2" xfId="3859"/>
    <cellStyle name="Comma 2 5 6 2 2 4" xfId="3860"/>
    <cellStyle name="Comma 2 5 6 2 3" xfId="3861"/>
    <cellStyle name="Comma 2 5 6 2 3 2" xfId="3862"/>
    <cellStyle name="Comma 2 5 6 2 3 2 2" xfId="3863"/>
    <cellStyle name="Comma 2 5 6 2 3 3" xfId="3864"/>
    <cellStyle name="Comma 2 5 6 2 4" xfId="3865"/>
    <cellStyle name="Comma 2 5 6 2 4 2" xfId="3866"/>
    <cellStyle name="Comma 2 5 6 2 4 3" xfId="3867"/>
    <cellStyle name="Comma 2 5 6 2 5" xfId="3868"/>
    <cellStyle name="Comma 2 5 6 2 5 2" xfId="3869"/>
    <cellStyle name="Comma 2 5 6 2 6" xfId="3870"/>
    <cellStyle name="Comma 2 5 6 2 6 2" xfId="35983"/>
    <cellStyle name="Comma 2 5 6 2 7" xfId="3871"/>
    <cellStyle name="Comma 2 5 6 3" xfId="3872"/>
    <cellStyle name="Comma 2 5 6 3 2" xfId="3873"/>
    <cellStyle name="Comma 2 5 6 3 2 2" xfId="3874"/>
    <cellStyle name="Comma 2 5 6 3 2 2 2" xfId="3875"/>
    <cellStyle name="Comma 2 5 6 3 2 3" xfId="3876"/>
    <cellStyle name="Comma 2 5 6 3 3" xfId="3877"/>
    <cellStyle name="Comma 2 5 6 3 3 2" xfId="3878"/>
    <cellStyle name="Comma 2 5 6 3 4" xfId="3879"/>
    <cellStyle name="Comma 2 5 6 4" xfId="3880"/>
    <cellStyle name="Comma 2 5 6 4 2" xfId="3881"/>
    <cellStyle name="Comma 2 5 6 4 2 2" xfId="3882"/>
    <cellStyle name="Comma 2 5 6 4 3" xfId="3883"/>
    <cellStyle name="Comma 2 5 6 5" xfId="3884"/>
    <cellStyle name="Comma 2 5 6 5 2" xfId="3885"/>
    <cellStyle name="Comma 2 5 6 5 2 2" xfId="3886"/>
    <cellStyle name="Comma 2 5 6 5 3" xfId="3887"/>
    <cellStyle name="Comma 2 5 6 6" xfId="3888"/>
    <cellStyle name="Comma 2 5 6 6 2" xfId="3889"/>
    <cellStyle name="Comma 2 5 6 7" xfId="3890"/>
    <cellStyle name="Comma 2 5 6 7 2" xfId="35984"/>
    <cellStyle name="Comma 2 5 6 8" xfId="3891"/>
    <cellStyle name="Comma 2 5 7" xfId="3892"/>
    <cellStyle name="Comma 2 5 7 2" xfId="3893"/>
    <cellStyle name="Comma 2 5 7 2 2" xfId="3894"/>
    <cellStyle name="Comma 2 5 7 2 2 2" xfId="3895"/>
    <cellStyle name="Comma 2 5 7 2 2 2 2" xfId="3896"/>
    <cellStyle name="Comma 2 5 7 2 2 2 3" xfId="3897"/>
    <cellStyle name="Comma 2 5 7 2 2 3" xfId="3898"/>
    <cellStyle name="Comma 2 5 7 2 2 3 2" xfId="3899"/>
    <cellStyle name="Comma 2 5 7 2 2 4" xfId="3900"/>
    <cellStyle name="Comma 2 5 7 2 3" xfId="3901"/>
    <cellStyle name="Comma 2 5 7 2 3 2" xfId="3902"/>
    <cellStyle name="Comma 2 5 7 2 3 2 2" xfId="3903"/>
    <cellStyle name="Comma 2 5 7 2 3 3" xfId="3904"/>
    <cellStyle name="Comma 2 5 7 2 4" xfId="3905"/>
    <cellStyle name="Comma 2 5 7 2 4 2" xfId="3906"/>
    <cellStyle name="Comma 2 5 7 2 4 3" xfId="3907"/>
    <cellStyle name="Comma 2 5 7 2 5" xfId="3908"/>
    <cellStyle name="Comma 2 5 7 2 5 2" xfId="3909"/>
    <cellStyle name="Comma 2 5 7 2 6" xfId="3910"/>
    <cellStyle name="Comma 2 5 7 2 6 2" xfId="35985"/>
    <cellStyle name="Comma 2 5 7 2 7" xfId="3911"/>
    <cellStyle name="Comma 2 5 7 3" xfId="3912"/>
    <cellStyle name="Comma 2 5 7 3 2" xfId="3913"/>
    <cellStyle name="Comma 2 5 7 3 2 2" xfId="3914"/>
    <cellStyle name="Comma 2 5 7 3 2 2 2" xfId="3915"/>
    <cellStyle name="Comma 2 5 7 3 2 3" xfId="3916"/>
    <cellStyle name="Comma 2 5 7 3 3" xfId="3917"/>
    <cellStyle name="Comma 2 5 7 3 3 2" xfId="3918"/>
    <cellStyle name="Comma 2 5 7 3 4" xfId="3919"/>
    <cellStyle name="Comma 2 5 7 4" xfId="3920"/>
    <cellStyle name="Comma 2 5 7 4 2" xfId="3921"/>
    <cellStyle name="Comma 2 5 7 4 2 2" xfId="3922"/>
    <cellStyle name="Comma 2 5 7 4 3" xfId="3923"/>
    <cellStyle name="Comma 2 5 7 5" xfId="3924"/>
    <cellStyle name="Comma 2 5 7 5 2" xfId="3925"/>
    <cellStyle name="Comma 2 5 7 5 2 2" xfId="3926"/>
    <cellStyle name="Comma 2 5 7 5 3" xfId="3927"/>
    <cellStyle name="Comma 2 5 7 6" xfId="3928"/>
    <cellStyle name="Comma 2 5 7 6 2" xfId="3929"/>
    <cellStyle name="Comma 2 5 7 7" xfId="3930"/>
    <cellStyle name="Comma 2 5 7 7 2" xfId="35986"/>
    <cellStyle name="Comma 2 5 7 8" xfId="3931"/>
    <cellStyle name="Comma 2 5 8" xfId="3932"/>
    <cellStyle name="Comma 2 5 8 2" xfId="3933"/>
    <cellStyle name="Comma 2 5 8 2 2" xfId="3934"/>
    <cellStyle name="Comma 2 5 8 2 2 2" xfId="3935"/>
    <cellStyle name="Comma 2 5 8 2 2 3" xfId="3936"/>
    <cellStyle name="Comma 2 5 8 2 3" xfId="3937"/>
    <cellStyle name="Comma 2 5 8 2 3 2" xfId="3938"/>
    <cellStyle name="Comma 2 5 8 2 4" xfId="3939"/>
    <cellStyle name="Comma 2 5 8 3" xfId="3940"/>
    <cellStyle name="Comma 2 5 8 3 2" xfId="3941"/>
    <cellStyle name="Comma 2 5 8 3 2 2" xfId="3942"/>
    <cellStyle name="Comma 2 5 8 3 3" xfId="3943"/>
    <cellStyle name="Comma 2 5 8 4" xfId="3944"/>
    <cellStyle name="Comma 2 5 8 4 2" xfId="3945"/>
    <cellStyle name="Comma 2 5 8 4 3" xfId="3946"/>
    <cellStyle name="Comma 2 5 8 5" xfId="3947"/>
    <cellStyle name="Comma 2 5 8 5 2" xfId="3948"/>
    <cellStyle name="Comma 2 5 8 6" xfId="3949"/>
    <cellStyle name="Comma 2 5 8 6 2" xfId="35987"/>
    <cellStyle name="Comma 2 5 8 7" xfId="3950"/>
    <cellStyle name="Comma 2 5 9" xfId="3951"/>
    <cellStyle name="Comma 2 5 9 2" xfId="3952"/>
    <cellStyle name="Comma 2 5 9 2 2" xfId="3953"/>
    <cellStyle name="Comma 2 5 9 2 2 2" xfId="3954"/>
    <cellStyle name="Comma 2 5 9 2 3" xfId="3955"/>
    <cellStyle name="Comma 2 5 9 3" xfId="3956"/>
    <cellStyle name="Comma 2 5 9 3 2" xfId="3957"/>
    <cellStyle name="Comma 2 5 9 4" xfId="3958"/>
    <cellStyle name="Comma 2 6" xfId="3959"/>
    <cellStyle name="Comma 2 6 10" xfId="3960"/>
    <cellStyle name="Comma 2 6 10 2" xfId="3961"/>
    <cellStyle name="Comma 2 6 10 2 2" xfId="3962"/>
    <cellStyle name="Comma 2 6 10 3" xfId="3963"/>
    <cellStyle name="Comma 2 6 11" xfId="3964"/>
    <cellStyle name="Comma 2 6 11 2" xfId="3965"/>
    <cellStyle name="Comma 2 6 12" xfId="3966"/>
    <cellStyle name="Comma 2 6 12 2" xfId="35988"/>
    <cellStyle name="Comma 2 6 13" xfId="3967"/>
    <cellStyle name="Comma 2 6 2" xfId="3968"/>
    <cellStyle name="Comma 2 6 2 10" xfId="3969"/>
    <cellStyle name="Comma 2 6 2 2" xfId="3970"/>
    <cellStyle name="Comma 2 6 2 2 2" xfId="3971"/>
    <cellStyle name="Comma 2 6 2 2 2 2" xfId="3972"/>
    <cellStyle name="Comma 2 6 2 2 2 2 2" xfId="3973"/>
    <cellStyle name="Comma 2 6 2 2 2 2 2 2" xfId="3974"/>
    <cellStyle name="Comma 2 6 2 2 2 2 2 2 2" xfId="3975"/>
    <cellStyle name="Comma 2 6 2 2 2 2 2 2 3" xfId="3976"/>
    <cellStyle name="Comma 2 6 2 2 2 2 2 3" xfId="3977"/>
    <cellStyle name="Comma 2 6 2 2 2 2 2 3 2" xfId="3978"/>
    <cellStyle name="Comma 2 6 2 2 2 2 2 4" xfId="3979"/>
    <cellStyle name="Comma 2 6 2 2 2 2 3" xfId="3980"/>
    <cellStyle name="Comma 2 6 2 2 2 2 3 2" xfId="3981"/>
    <cellStyle name="Comma 2 6 2 2 2 2 3 2 2" xfId="3982"/>
    <cellStyle name="Comma 2 6 2 2 2 2 3 3" xfId="3983"/>
    <cellStyle name="Comma 2 6 2 2 2 2 4" xfId="3984"/>
    <cellStyle name="Comma 2 6 2 2 2 2 4 2" xfId="3985"/>
    <cellStyle name="Comma 2 6 2 2 2 2 4 3" xfId="3986"/>
    <cellStyle name="Comma 2 6 2 2 2 2 5" xfId="3987"/>
    <cellStyle name="Comma 2 6 2 2 2 2 5 2" xfId="3988"/>
    <cellStyle name="Comma 2 6 2 2 2 2 6" xfId="3989"/>
    <cellStyle name="Comma 2 6 2 2 2 2 6 2" xfId="35989"/>
    <cellStyle name="Comma 2 6 2 2 2 2 7" xfId="3990"/>
    <cellStyle name="Comma 2 6 2 2 2 3" xfId="3991"/>
    <cellStyle name="Comma 2 6 2 2 2 3 2" xfId="3992"/>
    <cellStyle name="Comma 2 6 2 2 2 3 2 2" xfId="3993"/>
    <cellStyle name="Comma 2 6 2 2 2 3 2 2 2" xfId="3994"/>
    <cellStyle name="Comma 2 6 2 2 2 3 2 3" xfId="3995"/>
    <cellStyle name="Comma 2 6 2 2 2 3 3" xfId="3996"/>
    <cellStyle name="Comma 2 6 2 2 2 3 3 2" xfId="3997"/>
    <cellStyle name="Comma 2 6 2 2 2 3 4" xfId="3998"/>
    <cellStyle name="Comma 2 6 2 2 2 4" xfId="3999"/>
    <cellStyle name="Comma 2 6 2 2 2 4 2" xfId="4000"/>
    <cellStyle name="Comma 2 6 2 2 2 4 2 2" xfId="4001"/>
    <cellStyle name="Comma 2 6 2 2 2 4 3" xfId="4002"/>
    <cellStyle name="Comma 2 6 2 2 2 5" xfId="4003"/>
    <cellStyle name="Comma 2 6 2 2 2 5 2" xfId="4004"/>
    <cellStyle name="Comma 2 6 2 2 2 5 2 2" xfId="4005"/>
    <cellStyle name="Comma 2 6 2 2 2 5 3" xfId="4006"/>
    <cellStyle name="Comma 2 6 2 2 2 6" xfId="4007"/>
    <cellStyle name="Comma 2 6 2 2 2 6 2" xfId="4008"/>
    <cellStyle name="Comma 2 6 2 2 2 7" xfId="4009"/>
    <cellStyle name="Comma 2 6 2 2 2 7 2" xfId="35990"/>
    <cellStyle name="Comma 2 6 2 2 2 8" xfId="4010"/>
    <cellStyle name="Comma 2 6 2 2 3" xfId="4011"/>
    <cellStyle name="Comma 2 6 2 2 3 2" xfId="4012"/>
    <cellStyle name="Comma 2 6 2 2 3 2 2" xfId="4013"/>
    <cellStyle name="Comma 2 6 2 2 3 2 2 2" xfId="4014"/>
    <cellStyle name="Comma 2 6 2 2 3 2 2 3" xfId="4015"/>
    <cellStyle name="Comma 2 6 2 2 3 2 3" xfId="4016"/>
    <cellStyle name="Comma 2 6 2 2 3 2 3 2" xfId="4017"/>
    <cellStyle name="Comma 2 6 2 2 3 2 4" xfId="4018"/>
    <cellStyle name="Comma 2 6 2 2 3 3" xfId="4019"/>
    <cellStyle name="Comma 2 6 2 2 3 3 2" xfId="4020"/>
    <cellStyle name="Comma 2 6 2 2 3 3 2 2" xfId="4021"/>
    <cellStyle name="Comma 2 6 2 2 3 3 3" xfId="4022"/>
    <cellStyle name="Comma 2 6 2 2 3 4" xfId="4023"/>
    <cellStyle name="Comma 2 6 2 2 3 4 2" xfId="4024"/>
    <cellStyle name="Comma 2 6 2 2 3 4 3" xfId="4025"/>
    <cellStyle name="Comma 2 6 2 2 3 5" xfId="4026"/>
    <cellStyle name="Comma 2 6 2 2 3 5 2" xfId="4027"/>
    <cellStyle name="Comma 2 6 2 2 3 6" xfId="4028"/>
    <cellStyle name="Comma 2 6 2 2 3 6 2" xfId="35991"/>
    <cellStyle name="Comma 2 6 2 2 3 7" xfId="4029"/>
    <cellStyle name="Comma 2 6 2 2 4" xfId="4030"/>
    <cellStyle name="Comma 2 6 2 2 4 2" xfId="4031"/>
    <cellStyle name="Comma 2 6 2 2 4 2 2" xfId="4032"/>
    <cellStyle name="Comma 2 6 2 2 4 2 2 2" xfId="4033"/>
    <cellStyle name="Comma 2 6 2 2 4 2 3" xfId="4034"/>
    <cellStyle name="Comma 2 6 2 2 4 3" xfId="4035"/>
    <cellStyle name="Comma 2 6 2 2 4 3 2" xfId="4036"/>
    <cellStyle name="Comma 2 6 2 2 4 4" xfId="4037"/>
    <cellStyle name="Comma 2 6 2 2 5" xfId="4038"/>
    <cellStyle name="Comma 2 6 2 2 5 2" xfId="4039"/>
    <cellStyle name="Comma 2 6 2 2 5 2 2" xfId="4040"/>
    <cellStyle name="Comma 2 6 2 2 5 3" xfId="4041"/>
    <cellStyle name="Comma 2 6 2 2 6" xfId="4042"/>
    <cellStyle name="Comma 2 6 2 2 6 2" xfId="4043"/>
    <cellStyle name="Comma 2 6 2 2 6 2 2" xfId="4044"/>
    <cellStyle name="Comma 2 6 2 2 6 3" xfId="4045"/>
    <cellStyle name="Comma 2 6 2 2 7" xfId="4046"/>
    <cellStyle name="Comma 2 6 2 2 7 2" xfId="4047"/>
    <cellStyle name="Comma 2 6 2 2 8" xfId="4048"/>
    <cellStyle name="Comma 2 6 2 2 8 2" xfId="35992"/>
    <cellStyle name="Comma 2 6 2 2 9" xfId="4049"/>
    <cellStyle name="Comma 2 6 2 3" xfId="4050"/>
    <cellStyle name="Comma 2 6 2 3 2" xfId="4051"/>
    <cellStyle name="Comma 2 6 2 3 2 2" xfId="4052"/>
    <cellStyle name="Comma 2 6 2 3 2 2 2" xfId="4053"/>
    <cellStyle name="Comma 2 6 2 3 2 2 2 2" xfId="4054"/>
    <cellStyle name="Comma 2 6 2 3 2 2 2 3" xfId="4055"/>
    <cellStyle name="Comma 2 6 2 3 2 2 3" xfId="4056"/>
    <cellStyle name="Comma 2 6 2 3 2 2 3 2" xfId="4057"/>
    <cellStyle name="Comma 2 6 2 3 2 2 4" xfId="4058"/>
    <cellStyle name="Comma 2 6 2 3 2 3" xfId="4059"/>
    <cellStyle name="Comma 2 6 2 3 2 3 2" xfId="4060"/>
    <cellStyle name="Comma 2 6 2 3 2 3 2 2" xfId="4061"/>
    <cellStyle name="Comma 2 6 2 3 2 3 3" xfId="4062"/>
    <cellStyle name="Comma 2 6 2 3 2 4" xfId="4063"/>
    <cellStyle name="Comma 2 6 2 3 2 4 2" xfId="4064"/>
    <cellStyle name="Comma 2 6 2 3 2 4 3" xfId="4065"/>
    <cellStyle name="Comma 2 6 2 3 2 5" xfId="4066"/>
    <cellStyle name="Comma 2 6 2 3 2 5 2" xfId="4067"/>
    <cellStyle name="Comma 2 6 2 3 2 6" xfId="4068"/>
    <cellStyle name="Comma 2 6 2 3 2 6 2" xfId="35993"/>
    <cellStyle name="Comma 2 6 2 3 2 7" xfId="4069"/>
    <cellStyle name="Comma 2 6 2 3 3" xfId="4070"/>
    <cellStyle name="Comma 2 6 2 3 3 2" xfId="4071"/>
    <cellStyle name="Comma 2 6 2 3 3 2 2" xfId="4072"/>
    <cellStyle name="Comma 2 6 2 3 3 2 2 2" xfId="4073"/>
    <cellStyle name="Comma 2 6 2 3 3 2 3" xfId="4074"/>
    <cellStyle name="Comma 2 6 2 3 3 3" xfId="4075"/>
    <cellStyle name="Comma 2 6 2 3 3 3 2" xfId="4076"/>
    <cellStyle name="Comma 2 6 2 3 3 4" xfId="4077"/>
    <cellStyle name="Comma 2 6 2 3 4" xfId="4078"/>
    <cellStyle name="Comma 2 6 2 3 4 2" xfId="4079"/>
    <cellStyle name="Comma 2 6 2 3 4 2 2" xfId="4080"/>
    <cellStyle name="Comma 2 6 2 3 4 3" xfId="4081"/>
    <cellStyle name="Comma 2 6 2 3 5" xfId="4082"/>
    <cellStyle name="Comma 2 6 2 3 5 2" xfId="4083"/>
    <cellStyle name="Comma 2 6 2 3 5 2 2" xfId="4084"/>
    <cellStyle name="Comma 2 6 2 3 5 3" xfId="4085"/>
    <cellStyle name="Comma 2 6 2 3 6" xfId="4086"/>
    <cellStyle name="Comma 2 6 2 3 6 2" xfId="4087"/>
    <cellStyle name="Comma 2 6 2 3 7" xfId="4088"/>
    <cellStyle name="Comma 2 6 2 3 7 2" xfId="35994"/>
    <cellStyle name="Comma 2 6 2 3 8" xfId="4089"/>
    <cellStyle name="Comma 2 6 2 4" xfId="4090"/>
    <cellStyle name="Comma 2 6 2 4 2" xfId="4091"/>
    <cellStyle name="Comma 2 6 2 4 2 2" xfId="4092"/>
    <cellStyle name="Comma 2 6 2 4 2 2 2" xfId="4093"/>
    <cellStyle name="Comma 2 6 2 4 2 2 3" xfId="4094"/>
    <cellStyle name="Comma 2 6 2 4 2 3" xfId="4095"/>
    <cellStyle name="Comma 2 6 2 4 2 3 2" xfId="4096"/>
    <cellStyle name="Comma 2 6 2 4 2 4" xfId="4097"/>
    <cellStyle name="Comma 2 6 2 4 3" xfId="4098"/>
    <cellStyle name="Comma 2 6 2 4 3 2" xfId="4099"/>
    <cellStyle name="Comma 2 6 2 4 3 2 2" xfId="4100"/>
    <cellStyle name="Comma 2 6 2 4 3 3" xfId="4101"/>
    <cellStyle name="Comma 2 6 2 4 4" xfId="4102"/>
    <cellStyle name="Comma 2 6 2 4 4 2" xfId="4103"/>
    <cellStyle name="Comma 2 6 2 4 4 3" xfId="4104"/>
    <cellStyle name="Comma 2 6 2 4 5" xfId="4105"/>
    <cellStyle name="Comma 2 6 2 4 5 2" xfId="4106"/>
    <cellStyle name="Comma 2 6 2 4 6" xfId="4107"/>
    <cellStyle name="Comma 2 6 2 4 6 2" xfId="35995"/>
    <cellStyle name="Comma 2 6 2 4 7" xfId="4108"/>
    <cellStyle name="Comma 2 6 2 5" xfId="4109"/>
    <cellStyle name="Comma 2 6 2 5 2" xfId="4110"/>
    <cellStyle name="Comma 2 6 2 5 2 2" xfId="4111"/>
    <cellStyle name="Comma 2 6 2 5 2 2 2" xfId="4112"/>
    <cellStyle name="Comma 2 6 2 5 2 3" xfId="4113"/>
    <cellStyle name="Comma 2 6 2 5 3" xfId="4114"/>
    <cellStyle name="Comma 2 6 2 5 3 2" xfId="4115"/>
    <cellStyle name="Comma 2 6 2 5 4" xfId="4116"/>
    <cellStyle name="Comma 2 6 2 6" xfId="4117"/>
    <cellStyle name="Comma 2 6 2 6 2" xfId="4118"/>
    <cellStyle name="Comma 2 6 2 6 2 2" xfId="4119"/>
    <cellStyle name="Comma 2 6 2 6 3" xfId="4120"/>
    <cellStyle name="Comma 2 6 2 7" xfId="4121"/>
    <cellStyle name="Comma 2 6 2 7 2" xfId="4122"/>
    <cellStyle name="Comma 2 6 2 7 2 2" xfId="4123"/>
    <cellStyle name="Comma 2 6 2 7 3" xfId="4124"/>
    <cellStyle name="Comma 2 6 2 8" xfId="4125"/>
    <cellStyle name="Comma 2 6 2 8 2" xfId="4126"/>
    <cellStyle name="Comma 2 6 2 9" xfId="4127"/>
    <cellStyle name="Comma 2 6 2 9 2" xfId="35996"/>
    <cellStyle name="Comma 2 6 3" xfId="4128"/>
    <cellStyle name="Comma 2 6 3 2" xfId="4129"/>
    <cellStyle name="Comma 2 6 3 2 2" xfId="4130"/>
    <cellStyle name="Comma 2 6 3 2 2 2" xfId="4131"/>
    <cellStyle name="Comma 2 6 3 2 2 2 2" xfId="4132"/>
    <cellStyle name="Comma 2 6 3 2 2 2 2 2" xfId="4133"/>
    <cellStyle name="Comma 2 6 3 2 2 2 2 3" xfId="4134"/>
    <cellStyle name="Comma 2 6 3 2 2 2 3" xfId="4135"/>
    <cellStyle name="Comma 2 6 3 2 2 2 3 2" xfId="4136"/>
    <cellStyle name="Comma 2 6 3 2 2 2 4" xfId="4137"/>
    <cellStyle name="Comma 2 6 3 2 2 3" xfId="4138"/>
    <cellStyle name="Comma 2 6 3 2 2 3 2" xfId="4139"/>
    <cellStyle name="Comma 2 6 3 2 2 3 2 2" xfId="4140"/>
    <cellStyle name="Comma 2 6 3 2 2 3 3" xfId="4141"/>
    <cellStyle name="Comma 2 6 3 2 2 4" xfId="4142"/>
    <cellStyle name="Comma 2 6 3 2 2 4 2" xfId="4143"/>
    <cellStyle name="Comma 2 6 3 2 2 4 3" xfId="4144"/>
    <cellStyle name="Comma 2 6 3 2 2 5" xfId="4145"/>
    <cellStyle name="Comma 2 6 3 2 2 5 2" xfId="4146"/>
    <cellStyle name="Comma 2 6 3 2 2 6" xfId="4147"/>
    <cellStyle name="Comma 2 6 3 2 2 6 2" xfId="35997"/>
    <cellStyle name="Comma 2 6 3 2 2 7" xfId="4148"/>
    <cellStyle name="Comma 2 6 3 2 3" xfId="4149"/>
    <cellStyle name="Comma 2 6 3 2 3 2" xfId="4150"/>
    <cellStyle name="Comma 2 6 3 2 3 2 2" xfId="4151"/>
    <cellStyle name="Comma 2 6 3 2 3 2 2 2" xfId="4152"/>
    <cellStyle name="Comma 2 6 3 2 3 2 3" xfId="4153"/>
    <cellStyle name="Comma 2 6 3 2 3 3" xfId="4154"/>
    <cellStyle name="Comma 2 6 3 2 3 3 2" xfId="4155"/>
    <cellStyle name="Comma 2 6 3 2 3 4" xfId="4156"/>
    <cellStyle name="Comma 2 6 3 2 4" xfId="4157"/>
    <cellStyle name="Comma 2 6 3 2 4 2" xfId="4158"/>
    <cellStyle name="Comma 2 6 3 2 4 2 2" xfId="4159"/>
    <cellStyle name="Comma 2 6 3 2 4 3" xfId="4160"/>
    <cellStyle name="Comma 2 6 3 2 5" xfId="4161"/>
    <cellStyle name="Comma 2 6 3 2 5 2" xfId="4162"/>
    <cellStyle name="Comma 2 6 3 2 5 2 2" xfId="4163"/>
    <cellStyle name="Comma 2 6 3 2 5 3" xfId="4164"/>
    <cellStyle name="Comma 2 6 3 2 6" xfId="4165"/>
    <cellStyle name="Comma 2 6 3 2 6 2" xfId="4166"/>
    <cellStyle name="Comma 2 6 3 2 7" xfId="4167"/>
    <cellStyle name="Comma 2 6 3 2 7 2" xfId="35998"/>
    <cellStyle name="Comma 2 6 3 2 8" xfId="4168"/>
    <cellStyle name="Comma 2 6 3 3" xfId="4169"/>
    <cellStyle name="Comma 2 6 3 3 2" xfId="4170"/>
    <cellStyle name="Comma 2 6 3 3 2 2" xfId="4171"/>
    <cellStyle name="Comma 2 6 3 3 2 2 2" xfId="4172"/>
    <cellStyle name="Comma 2 6 3 3 2 2 3" xfId="4173"/>
    <cellStyle name="Comma 2 6 3 3 2 3" xfId="4174"/>
    <cellStyle name="Comma 2 6 3 3 2 3 2" xfId="4175"/>
    <cellStyle name="Comma 2 6 3 3 2 4" xfId="4176"/>
    <cellStyle name="Comma 2 6 3 3 3" xfId="4177"/>
    <cellStyle name="Comma 2 6 3 3 3 2" xfId="4178"/>
    <cellStyle name="Comma 2 6 3 3 3 2 2" xfId="4179"/>
    <cellStyle name="Comma 2 6 3 3 3 3" xfId="4180"/>
    <cellStyle name="Comma 2 6 3 3 4" xfId="4181"/>
    <cellStyle name="Comma 2 6 3 3 4 2" xfId="4182"/>
    <cellStyle name="Comma 2 6 3 3 4 3" xfId="4183"/>
    <cellStyle name="Comma 2 6 3 3 5" xfId="4184"/>
    <cellStyle name="Comma 2 6 3 3 5 2" xfId="4185"/>
    <cellStyle name="Comma 2 6 3 3 6" xfId="4186"/>
    <cellStyle name="Comma 2 6 3 3 6 2" xfId="35999"/>
    <cellStyle name="Comma 2 6 3 3 7" xfId="4187"/>
    <cellStyle name="Comma 2 6 3 4" xfId="4188"/>
    <cellStyle name="Comma 2 6 3 4 2" xfId="4189"/>
    <cellStyle name="Comma 2 6 3 4 2 2" xfId="4190"/>
    <cellStyle name="Comma 2 6 3 4 2 2 2" xfId="4191"/>
    <cellStyle name="Comma 2 6 3 4 2 3" xfId="4192"/>
    <cellStyle name="Comma 2 6 3 4 3" xfId="4193"/>
    <cellStyle name="Comma 2 6 3 4 3 2" xfId="4194"/>
    <cellStyle name="Comma 2 6 3 4 4" xfId="4195"/>
    <cellStyle name="Comma 2 6 3 5" xfId="4196"/>
    <cellStyle name="Comma 2 6 3 5 2" xfId="4197"/>
    <cellStyle name="Comma 2 6 3 5 2 2" xfId="4198"/>
    <cellStyle name="Comma 2 6 3 5 3" xfId="4199"/>
    <cellStyle name="Comma 2 6 3 6" xfId="4200"/>
    <cellStyle name="Comma 2 6 3 6 2" xfId="4201"/>
    <cellStyle name="Comma 2 6 3 6 2 2" xfId="4202"/>
    <cellStyle name="Comma 2 6 3 6 3" xfId="4203"/>
    <cellStyle name="Comma 2 6 3 7" xfId="4204"/>
    <cellStyle name="Comma 2 6 3 7 2" xfId="4205"/>
    <cellStyle name="Comma 2 6 3 8" xfId="4206"/>
    <cellStyle name="Comma 2 6 3 8 2" xfId="36000"/>
    <cellStyle name="Comma 2 6 3 9" xfId="4207"/>
    <cellStyle name="Comma 2 6 4" xfId="4208"/>
    <cellStyle name="Comma 2 6 4 2" xfId="4209"/>
    <cellStyle name="Comma 2 6 4 2 2" xfId="4210"/>
    <cellStyle name="Comma 2 6 4 2 2 2" xfId="4211"/>
    <cellStyle name="Comma 2 6 4 2 2 2 2" xfId="4212"/>
    <cellStyle name="Comma 2 6 4 2 2 2 3" xfId="4213"/>
    <cellStyle name="Comma 2 6 4 2 2 3" xfId="4214"/>
    <cellStyle name="Comma 2 6 4 2 2 3 2" xfId="4215"/>
    <cellStyle name="Comma 2 6 4 2 2 4" xfId="4216"/>
    <cellStyle name="Comma 2 6 4 2 3" xfId="4217"/>
    <cellStyle name="Comma 2 6 4 2 3 2" xfId="4218"/>
    <cellStyle name="Comma 2 6 4 2 3 2 2" xfId="4219"/>
    <cellStyle name="Comma 2 6 4 2 3 3" xfId="4220"/>
    <cellStyle name="Comma 2 6 4 2 4" xfId="4221"/>
    <cellStyle name="Comma 2 6 4 2 4 2" xfId="4222"/>
    <cellStyle name="Comma 2 6 4 2 4 3" xfId="4223"/>
    <cellStyle name="Comma 2 6 4 2 5" xfId="4224"/>
    <cellStyle name="Comma 2 6 4 2 5 2" xfId="4225"/>
    <cellStyle name="Comma 2 6 4 2 6" xfId="4226"/>
    <cellStyle name="Comma 2 6 4 2 6 2" xfId="36001"/>
    <cellStyle name="Comma 2 6 4 2 7" xfId="4227"/>
    <cellStyle name="Comma 2 6 4 3" xfId="4228"/>
    <cellStyle name="Comma 2 6 4 3 2" xfId="4229"/>
    <cellStyle name="Comma 2 6 4 3 2 2" xfId="4230"/>
    <cellStyle name="Comma 2 6 4 3 2 2 2" xfId="4231"/>
    <cellStyle name="Comma 2 6 4 3 2 3" xfId="4232"/>
    <cellStyle name="Comma 2 6 4 3 3" xfId="4233"/>
    <cellStyle name="Comma 2 6 4 3 3 2" xfId="4234"/>
    <cellStyle name="Comma 2 6 4 3 4" xfId="4235"/>
    <cellStyle name="Comma 2 6 4 4" xfId="4236"/>
    <cellStyle name="Comma 2 6 4 4 2" xfId="4237"/>
    <cellStyle name="Comma 2 6 4 4 2 2" xfId="4238"/>
    <cellStyle name="Comma 2 6 4 4 3" xfId="4239"/>
    <cellStyle name="Comma 2 6 4 5" xfId="4240"/>
    <cellStyle name="Comma 2 6 4 5 2" xfId="4241"/>
    <cellStyle name="Comma 2 6 4 5 2 2" xfId="4242"/>
    <cellStyle name="Comma 2 6 4 5 3" xfId="4243"/>
    <cellStyle name="Comma 2 6 4 6" xfId="4244"/>
    <cellStyle name="Comma 2 6 4 6 2" xfId="4245"/>
    <cellStyle name="Comma 2 6 4 7" xfId="4246"/>
    <cellStyle name="Comma 2 6 4 7 2" xfId="36002"/>
    <cellStyle name="Comma 2 6 4 8" xfId="4247"/>
    <cellStyle name="Comma 2 6 5" xfId="4248"/>
    <cellStyle name="Comma 2 6 5 2" xfId="4249"/>
    <cellStyle name="Comma 2 6 5 2 2" xfId="4250"/>
    <cellStyle name="Comma 2 6 5 2 2 2" xfId="4251"/>
    <cellStyle name="Comma 2 6 5 2 2 2 2" xfId="4252"/>
    <cellStyle name="Comma 2 6 5 2 2 2 3" xfId="4253"/>
    <cellStyle name="Comma 2 6 5 2 2 3" xfId="4254"/>
    <cellStyle name="Comma 2 6 5 2 2 3 2" xfId="4255"/>
    <cellStyle name="Comma 2 6 5 2 2 4" xfId="4256"/>
    <cellStyle name="Comma 2 6 5 2 3" xfId="4257"/>
    <cellStyle name="Comma 2 6 5 2 3 2" xfId="4258"/>
    <cellStyle name="Comma 2 6 5 2 3 2 2" xfId="4259"/>
    <cellStyle name="Comma 2 6 5 2 3 3" xfId="4260"/>
    <cellStyle name="Comma 2 6 5 2 4" xfId="4261"/>
    <cellStyle name="Comma 2 6 5 2 4 2" xfId="4262"/>
    <cellStyle name="Comma 2 6 5 2 4 3" xfId="4263"/>
    <cellStyle name="Comma 2 6 5 2 5" xfId="4264"/>
    <cellStyle name="Comma 2 6 5 2 5 2" xfId="4265"/>
    <cellStyle name="Comma 2 6 5 2 6" xfId="4266"/>
    <cellStyle name="Comma 2 6 5 2 6 2" xfId="36003"/>
    <cellStyle name="Comma 2 6 5 2 7" xfId="4267"/>
    <cellStyle name="Comma 2 6 5 3" xfId="4268"/>
    <cellStyle name="Comma 2 6 5 3 2" xfId="4269"/>
    <cellStyle name="Comma 2 6 5 3 2 2" xfId="4270"/>
    <cellStyle name="Comma 2 6 5 3 2 2 2" xfId="4271"/>
    <cellStyle name="Comma 2 6 5 3 2 3" xfId="4272"/>
    <cellStyle name="Comma 2 6 5 3 3" xfId="4273"/>
    <cellStyle name="Comma 2 6 5 3 3 2" xfId="4274"/>
    <cellStyle name="Comma 2 6 5 3 4" xfId="4275"/>
    <cellStyle name="Comma 2 6 5 4" xfId="4276"/>
    <cellStyle name="Comma 2 6 5 4 2" xfId="4277"/>
    <cellStyle name="Comma 2 6 5 4 2 2" xfId="4278"/>
    <cellStyle name="Comma 2 6 5 4 3" xfId="4279"/>
    <cellStyle name="Comma 2 6 5 5" xfId="4280"/>
    <cellStyle name="Comma 2 6 5 5 2" xfId="4281"/>
    <cellStyle name="Comma 2 6 5 5 2 2" xfId="4282"/>
    <cellStyle name="Comma 2 6 5 5 3" xfId="4283"/>
    <cellStyle name="Comma 2 6 5 6" xfId="4284"/>
    <cellStyle name="Comma 2 6 5 6 2" xfId="4285"/>
    <cellStyle name="Comma 2 6 5 7" xfId="4286"/>
    <cellStyle name="Comma 2 6 5 7 2" xfId="36004"/>
    <cellStyle name="Comma 2 6 5 8" xfId="4287"/>
    <cellStyle name="Comma 2 6 6" xfId="4288"/>
    <cellStyle name="Comma 2 6 7" xfId="4289"/>
    <cellStyle name="Comma 2 6 7 2" xfId="4290"/>
    <cellStyle name="Comma 2 6 7 2 2" xfId="4291"/>
    <cellStyle name="Comma 2 6 7 2 2 2" xfId="4292"/>
    <cellStyle name="Comma 2 6 7 2 2 3" xfId="4293"/>
    <cellStyle name="Comma 2 6 7 2 3" xfId="4294"/>
    <cellStyle name="Comma 2 6 7 2 3 2" xfId="4295"/>
    <cellStyle name="Comma 2 6 7 2 4" xfId="4296"/>
    <cellStyle name="Comma 2 6 7 3" xfId="4297"/>
    <cellStyle name="Comma 2 6 7 3 2" xfId="4298"/>
    <cellStyle name="Comma 2 6 7 3 2 2" xfId="4299"/>
    <cellStyle name="Comma 2 6 7 3 3" xfId="4300"/>
    <cellStyle name="Comma 2 6 7 4" xfId="4301"/>
    <cellStyle name="Comma 2 6 7 4 2" xfId="4302"/>
    <cellStyle name="Comma 2 6 7 4 3" xfId="4303"/>
    <cellStyle name="Comma 2 6 7 5" xfId="4304"/>
    <cellStyle name="Comma 2 6 7 5 2" xfId="4305"/>
    <cellStyle name="Comma 2 6 7 6" xfId="4306"/>
    <cellStyle name="Comma 2 6 7 6 2" xfId="36005"/>
    <cellStyle name="Comma 2 6 7 7" xfId="4307"/>
    <cellStyle name="Comma 2 6 8" xfId="4308"/>
    <cellStyle name="Comma 2 6 8 2" xfId="4309"/>
    <cellStyle name="Comma 2 6 8 2 2" xfId="4310"/>
    <cellStyle name="Comma 2 6 8 2 2 2" xfId="4311"/>
    <cellStyle name="Comma 2 6 8 2 3" xfId="4312"/>
    <cellStyle name="Comma 2 6 8 3" xfId="4313"/>
    <cellStyle name="Comma 2 6 8 3 2" xfId="4314"/>
    <cellStyle name="Comma 2 6 8 4" xfId="4315"/>
    <cellStyle name="Comma 2 6 9" xfId="4316"/>
    <cellStyle name="Comma 2 6 9 2" xfId="4317"/>
    <cellStyle name="Comma 2 6 9 2 2" xfId="4318"/>
    <cellStyle name="Comma 2 6 9 3" xfId="4319"/>
    <cellStyle name="Comma 2 7" xfId="4320"/>
    <cellStyle name="Comma 2 7 10" xfId="4321"/>
    <cellStyle name="Comma 2 7 2" xfId="4322"/>
    <cellStyle name="Comma 2 7 2 2" xfId="4323"/>
    <cellStyle name="Comma 2 7 2 2 2" xfId="4324"/>
    <cellStyle name="Comma 2 7 2 2 2 2" xfId="4325"/>
    <cellStyle name="Comma 2 7 2 2 2 2 2" xfId="4326"/>
    <cellStyle name="Comma 2 7 2 2 2 2 2 2" xfId="4327"/>
    <cellStyle name="Comma 2 7 2 2 2 2 2 3" xfId="4328"/>
    <cellStyle name="Comma 2 7 2 2 2 2 3" xfId="4329"/>
    <cellStyle name="Comma 2 7 2 2 2 2 3 2" xfId="4330"/>
    <cellStyle name="Comma 2 7 2 2 2 2 4" xfId="4331"/>
    <cellStyle name="Comma 2 7 2 2 2 3" xfId="4332"/>
    <cellStyle name="Comma 2 7 2 2 2 3 2" xfId="4333"/>
    <cellStyle name="Comma 2 7 2 2 2 3 2 2" xfId="4334"/>
    <cellStyle name="Comma 2 7 2 2 2 3 3" xfId="4335"/>
    <cellStyle name="Comma 2 7 2 2 2 4" xfId="4336"/>
    <cellStyle name="Comma 2 7 2 2 2 4 2" xfId="4337"/>
    <cellStyle name="Comma 2 7 2 2 2 4 3" xfId="4338"/>
    <cellStyle name="Comma 2 7 2 2 2 5" xfId="4339"/>
    <cellStyle name="Comma 2 7 2 2 2 5 2" xfId="4340"/>
    <cellStyle name="Comma 2 7 2 2 2 6" xfId="4341"/>
    <cellStyle name="Comma 2 7 2 2 2 6 2" xfId="36006"/>
    <cellStyle name="Comma 2 7 2 2 2 7" xfId="4342"/>
    <cellStyle name="Comma 2 7 2 2 3" xfId="4343"/>
    <cellStyle name="Comma 2 7 2 2 3 2" xfId="4344"/>
    <cellStyle name="Comma 2 7 2 2 3 2 2" xfId="4345"/>
    <cellStyle name="Comma 2 7 2 2 3 2 2 2" xfId="4346"/>
    <cellStyle name="Comma 2 7 2 2 3 2 3" xfId="4347"/>
    <cellStyle name="Comma 2 7 2 2 3 3" xfId="4348"/>
    <cellStyle name="Comma 2 7 2 2 3 3 2" xfId="4349"/>
    <cellStyle name="Comma 2 7 2 2 3 4" xfId="4350"/>
    <cellStyle name="Comma 2 7 2 2 4" xfId="4351"/>
    <cellStyle name="Comma 2 7 2 2 4 2" xfId="4352"/>
    <cellStyle name="Comma 2 7 2 2 4 2 2" xfId="4353"/>
    <cellStyle name="Comma 2 7 2 2 4 3" xfId="4354"/>
    <cellStyle name="Comma 2 7 2 2 5" xfId="4355"/>
    <cellStyle name="Comma 2 7 2 2 5 2" xfId="4356"/>
    <cellStyle name="Comma 2 7 2 2 5 2 2" xfId="4357"/>
    <cellStyle name="Comma 2 7 2 2 5 3" xfId="4358"/>
    <cellStyle name="Comma 2 7 2 2 6" xfId="4359"/>
    <cellStyle name="Comma 2 7 2 2 6 2" xfId="4360"/>
    <cellStyle name="Comma 2 7 2 2 7" xfId="4361"/>
    <cellStyle name="Comma 2 7 2 2 7 2" xfId="36007"/>
    <cellStyle name="Comma 2 7 2 2 8" xfId="4362"/>
    <cellStyle name="Comma 2 7 2 3" xfId="4363"/>
    <cellStyle name="Comma 2 7 2 3 2" xfId="4364"/>
    <cellStyle name="Comma 2 7 2 3 2 2" xfId="4365"/>
    <cellStyle name="Comma 2 7 2 3 2 2 2" xfId="4366"/>
    <cellStyle name="Comma 2 7 2 3 2 2 3" xfId="4367"/>
    <cellStyle name="Comma 2 7 2 3 2 3" xfId="4368"/>
    <cellStyle name="Comma 2 7 2 3 2 3 2" xfId="4369"/>
    <cellStyle name="Comma 2 7 2 3 2 4" xfId="4370"/>
    <cellStyle name="Comma 2 7 2 3 3" xfId="4371"/>
    <cellStyle name="Comma 2 7 2 3 3 2" xfId="4372"/>
    <cellStyle name="Comma 2 7 2 3 3 2 2" xfId="4373"/>
    <cellStyle name="Comma 2 7 2 3 3 3" xfId="4374"/>
    <cellStyle name="Comma 2 7 2 3 4" xfId="4375"/>
    <cellStyle name="Comma 2 7 2 3 4 2" xfId="4376"/>
    <cellStyle name="Comma 2 7 2 3 4 3" xfId="4377"/>
    <cellStyle name="Comma 2 7 2 3 5" xfId="4378"/>
    <cellStyle name="Comma 2 7 2 3 5 2" xfId="4379"/>
    <cellStyle name="Comma 2 7 2 3 6" xfId="4380"/>
    <cellStyle name="Comma 2 7 2 3 6 2" xfId="36008"/>
    <cellStyle name="Comma 2 7 2 3 7" xfId="4381"/>
    <cellStyle name="Comma 2 7 2 4" xfId="4382"/>
    <cellStyle name="Comma 2 7 2 4 2" xfId="4383"/>
    <cellStyle name="Comma 2 7 2 4 2 2" xfId="4384"/>
    <cellStyle name="Comma 2 7 2 4 2 2 2" xfId="4385"/>
    <cellStyle name="Comma 2 7 2 4 2 3" xfId="4386"/>
    <cellStyle name="Comma 2 7 2 4 3" xfId="4387"/>
    <cellStyle name="Comma 2 7 2 4 3 2" xfId="4388"/>
    <cellStyle name="Comma 2 7 2 4 4" xfId="4389"/>
    <cellStyle name="Comma 2 7 2 5" xfId="4390"/>
    <cellStyle name="Comma 2 7 2 5 2" xfId="4391"/>
    <cellStyle name="Comma 2 7 2 5 2 2" xfId="4392"/>
    <cellStyle name="Comma 2 7 2 5 3" xfId="4393"/>
    <cellStyle name="Comma 2 7 2 6" xfId="4394"/>
    <cellStyle name="Comma 2 7 2 6 2" xfId="4395"/>
    <cellStyle name="Comma 2 7 2 6 2 2" xfId="4396"/>
    <cellStyle name="Comma 2 7 2 6 3" xfId="4397"/>
    <cellStyle name="Comma 2 7 2 7" xfId="4398"/>
    <cellStyle name="Comma 2 7 2 7 2" xfId="4399"/>
    <cellStyle name="Comma 2 7 2 8" xfId="4400"/>
    <cellStyle name="Comma 2 7 2 8 2" xfId="36009"/>
    <cellStyle name="Comma 2 7 2 9" xfId="4401"/>
    <cellStyle name="Comma 2 7 3" xfId="4402"/>
    <cellStyle name="Comma 2 7 3 2" xfId="4403"/>
    <cellStyle name="Comma 2 7 3 2 2" xfId="4404"/>
    <cellStyle name="Comma 2 7 3 2 2 2" xfId="4405"/>
    <cellStyle name="Comma 2 7 3 2 2 2 2" xfId="4406"/>
    <cellStyle name="Comma 2 7 3 2 2 2 3" xfId="4407"/>
    <cellStyle name="Comma 2 7 3 2 2 3" xfId="4408"/>
    <cellStyle name="Comma 2 7 3 2 2 3 2" xfId="4409"/>
    <cellStyle name="Comma 2 7 3 2 2 4" xfId="4410"/>
    <cellStyle name="Comma 2 7 3 2 3" xfId="4411"/>
    <cellStyle name="Comma 2 7 3 2 3 2" xfId="4412"/>
    <cellStyle name="Comma 2 7 3 2 3 2 2" xfId="4413"/>
    <cellStyle name="Comma 2 7 3 2 3 3" xfId="4414"/>
    <cellStyle name="Comma 2 7 3 2 4" xfId="4415"/>
    <cellStyle name="Comma 2 7 3 2 4 2" xfId="4416"/>
    <cellStyle name="Comma 2 7 3 2 4 3" xfId="4417"/>
    <cellStyle name="Comma 2 7 3 2 5" xfId="4418"/>
    <cellStyle name="Comma 2 7 3 2 5 2" xfId="4419"/>
    <cellStyle name="Comma 2 7 3 2 6" xfId="4420"/>
    <cellStyle name="Comma 2 7 3 2 6 2" xfId="36010"/>
    <cellStyle name="Comma 2 7 3 2 7" xfId="4421"/>
    <cellStyle name="Comma 2 7 3 3" xfId="4422"/>
    <cellStyle name="Comma 2 7 3 3 2" xfId="4423"/>
    <cellStyle name="Comma 2 7 3 3 2 2" xfId="4424"/>
    <cellStyle name="Comma 2 7 3 3 2 2 2" xfId="4425"/>
    <cellStyle name="Comma 2 7 3 3 2 3" xfId="4426"/>
    <cellStyle name="Comma 2 7 3 3 3" xfId="4427"/>
    <cellStyle name="Comma 2 7 3 3 3 2" xfId="4428"/>
    <cellStyle name="Comma 2 7 3 3 4" xfId="4429"/>
    <cellStyle name="Comma 2 7 3 4" xfId="4430"/>
    <cellStyle name="Comma 2 7 3 4 2" xfId="4431"/>
    <cellStyle name="Comma 2 7 3 4 2 2" xfId="4432"/>
    <cellStyle name="Comma 2 7 3 4 3" xfId="4433"/>
    <cellStyle name="Comma 2 7 3 5" xfId="4434"/>
    <cellStyle name="Comma 2 7 3 5 2" xfId="4435"/>
    <cellStyle name="Comma 2 7 3 5 2 2" xfId="4436"/>
    <cellStyle name="Comma 2 7 3 5 3" xfId="4437"/>
    <cellStyle name="Comma 2 7 3 6" xfId="4438"/>
    <cellStyle name="Comma 2 7 3 6 2" xfId="4439"/>
    <cellStyle name="Comma 2 7 3 7" xfId="4440"/>
    <cellStyle name="Comma 2 7 3 7 2" xfId="36011"/>
    <cellStyle name="Comma 2 7 3 8" xfId="4441"/>
    <cellStyle name="Comma 2 7 4" xfId="4442"/>
    <cellStyle name="Comma 2 7 4 2" xfId="4443"/>
    <cellStyle name="Comma 2 7 4 2 2" xfId="4444"/>
    <cellStyle name="Comma 2 7 4 2 2 2" xfId="4445"/>
    <cellStyle name="Comma 2 7 4 2 2 3" xfId="4446"/>
    <cellStyle name="Comma 2 7 4 2 3" xfId="4447"/>
    <cellStyle name="Comma 2 7 4 2 3 2" xfId="4448"/>
    <cellStyle name="Comma 2 7 4 2 4" xfId="4449"/>
    <cellStyle name="Comma 2 7 4 3" xfId="4450"/>
    <cellStyle name="Comma 2 7 4 3 2" xfId="4451"/>
    <cellStyle name="Comma 2 7 4 3 2 2" xfId="4452"/>
    <cellStyle name="Comma 2 7 4 3 3" xfId="4453"/>
    <cellStyle name="Comma 2 7 4 4" xfId="4454"/>
    <cellStyle name="Comma 2 7 4 4 2" xfId="4455"/>
    <cellStyle name="Comma 2 7 4 4 3" xfId="4456"/>
    <cellStyle name="Comma 2 7 4 5" xfId="4457"/>
    <cellStyle name="Comma 2 7 4 5 2" xfId="4458"/>
    <cellStyle name="Comma 2 7 4 6" xfId="4459"/>
    <cellStyle name="Comma 2 7 4 6 2" xfId="36012"/>
    <cellStyle name="Comma 2 7 4 7" xfId="4460"/>
    <cellStyle name="Comma 2 7 5" xfId="4461"/>
    <cellStyle name="Comma 2 7 5 2" xfId="4462"/>
    <cellStyle name="Comma 2 7 5 2 2" xfId="4463"/>
    <cellStyle name="Comma 2 7 5 2 2 2" xfId="4464"/>
    <cellStyle name="Comma 2 7 5 2 3" xfId="4465"/>
    <cellStyle name="Comma 2 7 5 3" xfId="4466"/>
    <cellStyle name="Comma 2 7 5 3 2" xfId="4467"/>
    <cellStyle name="Comma 2 7 5 4" xfId="4468"/>
    <cellStyle name="Comma 2 7 6" xfId="4469"/>
    <cellStyle name="Comma 2 7 6 2" xfId="4470"/>
    <cellStyle name="Comma 2 7 6 2 2" xfId="4471"/>
    <cellStyle name="Comma 2 7 6 3" xfId="4472"/>
    <cellStyle name="Comma 2 7 7" xfId="4473"/>
    <cellStyle name="Comma 2 7 7 2" xfId="4474"/>
    <cellStyle name="Comma 2 7 7 2 2" xfId="4475"/>
    <cellStyle name="Comma 2 7 7 3" xfId="4476"/>
    <cellStyle name="Comma 2 7 8" xfId="4477"/>
    <cellStyle name="Comma 2 7 8 2" xfId="4478"/>
    <cellStyle name="Comma 2 7 9" xfId="4479"/>
    <cellStyle name="Comma 2 7 9 2" xfId="36013"/>
    <cellStyle name="Comma 2 8" xfId="4480"/>
    <cellStyle name="Comma 2 8 2" xfId="4481"/>
    <cellStyle name="Comma 2 8 2 2" xfId="4482"/>
    <cellStyle name="Comma 2 8 2 2 2" xfId="4483"/>
    <cellStyle name="Comma 2 8 2 2 2 2" xfId="4484"/>
    <cellStyle name="Comma 2 8 2 2 2 2 2" xfId="4485"/>
    <cellStyle name="Comma 2 8 2 2 2 2 3" xfId="4486"/>
    <cellStyle name="Comma 2 8 2 2 2 3" xfId="4487"/>
    <cellStyle name="Comma 2 8 2 2 2 3 2" xfId="4488"/>
    <cellStyle name="Comma 2 8 2 2 2 4" xfId="4489"/>
    <cellStyle name="Comma 2 8 2 2 3" xfId="4490"/>
    <cellStyle name="Comma 2 8 2 2 3 2" xfId="4491"/>
    <cellStyle name="Comma 2 8 2 2 3 2 2" xfId="4492"/>
    <cellStyle name="Comma 2 8 2 2 3 3" xfId="4493"/>
    <cellStyle name="Comma 2 8 2 2 4" xfId="4494"/>
    <cellStyle name="Comma 2 8 2 2 4 2" xfId="4495"/>
    <cellStyle name="Comma 2 8 2 2 4 3" xfId="4496"/>
    <cellStyle name="Comma 2 8 2 2 5" xfId="4497"/>
    <cellStyle name="Comma 2 8 2 2 5 2" xfId="4498"/>
    <cellStyle name="Comma 2 8 2 2 6" xfId="4499"/>
    <cellStyle name="Comma 2 8 2 2 6 2" xfId="36014"/>
    <cellStyle name="Comma 2 8 2 2 7" xfId="4500"/>
    <cellStyle name="Comma 2 8 2 3" xfId="4501"/>
    <cellStyle name="Comma 2 8 2 3 2" xfId="4502"/>
    <cellStyle name="Comma 2 8 2 3 2 2" xfId="4503"/>
    <cellStyle name="Comma 2 8 2 3 2 2 2" xfId="4504"/>
    <cellStyle name="Comma 2 8 2 3 2 3" xfId="4505"/>
    <cellStyle name="Comma 2 8 2 3 3" xfId="4506"/>
    <cellStyle name="Comma 2 8 2 3 3 2" xfId="4507"/>
    <cellStyle name="Comma 2 8 2 3 4" xfId="4508"/>
    <cellStyle name="Comma 2 8 2 4" xfId="4509"/>
    <cellStyle name="Comma 2 8 2 4 2" xfId="4510"/>
    <cellStyle name="Comma 2 8 2 4 2 2" xfId="4511"/>
    <cellStyle name="Comma 2 8 2 4 3" xfId="4512"/>
    <cellStyle name="Comma 2 8 2 5" xfId="4513"/>
    <cellStyle name="Comma 2 8 2 5 2" xfId="4514"/>
    <cellStyle name="Comma 2 8 2 5 2 2" xfId="4515"/>
    <cellStyle name="Comma 2 8 2 5 3" xfId="4516"/>
    <cellStyle name="Comma 2 8 2 6" xfId="4517"/>
    <cellStyle name="Comma 2 8 2 6 2" xfId="4518"/>
    <cellStyle name="Comma 2 8 2 7" xfId="4519"/>
    <cellStyle name="Comma 2 8 2 7 2" xfId="36015"/>
    <cellStyle name="Comma 2 8 2 8" xfId="4520"/>
    <cellStyle name="Comma 2 8 3" xfId="4521"/>
    <cellStyle name="Comma 2 8 3 2" xfId="4522"/>
    <cellStyle name="Comma 2 8 3 2 2" xfId="4523"/>
    <cellStyle name="Comma 2 8 3 2 2 2" xfId="4524"/>
    <cellStyle name="Comma 2 8 3 2 2 3" xfId="4525"/>
    <cellStyle name="Comma 2 8 3 2 3" xfId="4526"/>
    <cellStyle name="Comma 2 8 3 2 3 2" xfId="4527"/>
    <cellStyle name="Comma 2 8 3 2 4" xfId="4528"/>
    <cellStyle name="Comma 2 8 3 3" xfId="4529"/>
    <cellStyle name="Comma 2 8 3 3 2" xfId="4530"/>
    <cellStyle name="Comma 2 8 3 3 2 2" xfId="4531"/>
    <cellStyle name="Comma 2 8 3 3 3" xfId="4532"/>
    <cellStyle name="Comma 2 8 3 4" xfId="4533"/>
    <cellStyle name="Comma 2 8 3 4 2" xfId="4534"/>
    <cellStyle name="Comma 2 8 3 4 3" xfId="4535"/>
    <cellStyle name="Comma 2 8 3 5" xfId="4536"/>
    <cellStyle name="Comma 2 8 3 5 2" xfId="4537"/>
    <cellStyle name="Comma 2 8 3 6" xfId="4538"/>
    <cellStyle name="Comma 2 8 3 6 2" xfId="36016"/>
    <cellStyle name="Comma 2 8 3 7" xfId="4539"/>
    <cellStyle name="Comma 2 8 4" xfId="4540"/>
    <cellStyle name="Comma 2 8 4 2" xfId="4541"/>
    <cellStyle name="Comma 2 8 4 2 2" xfId="4542"/>
    <cellStyle name="Comma 2 8 4 2 2 2" xfId="4543"/>
    <cellStyle name="Comma 2 8 4 2 3" xfId="4544"/>
    <cellStyle name="Comma 2 8 4 3" xfId="4545"/>
    <cellStyle name="Comma 2 8 4 3 2" xfId="4546"/>
    <cellStyle name="Comma 2 8 4 4" xfId="4547"/>
    <cellStyle name="Comma 2 8 5" xfId="4548"/>
    <cellStyle name="Comma 2 8 5 2" xfId="4549"/>
    <cellStyle name="Comma 2 8 5 2 2" xfId="4550"/>
    <cellStyle name="Comma 2 8 5 3" xfId="4551"/>
    <cellStyle name="Comma 2 8 6" xfId="4552"/>
    <cellStyle name="Comma 2 8 6 2" xfId="4553"/>
    <cellStyle name="Comma 2 8 6 2 2" xfId="4554"/>
    <cellStyle name="Comma 2 8 6 3" xfId="4555"/>
    <cellStyle name="Comma 2 8 7" xfId="4556"/>
    <cellStyle name="Comma 2 8 7 2" xfId="4557"/>
    <cellStyle name="Comma 2 8 8" xfId="4558"/>
    <cellStyle name="Comma 2 8 8 2" xfId="36017"/>
    <cellStyle name="Comma 2 8 9" xfId="4559"/>
    <cellStyle name="Comma 2 9" xfId="4560"/>
    <cellStyle name="Comma 2 9 2" xfId="4561"/>
    <cellStyle name="Comma 2 9 2 2" xfId="4562"/>
    <cellStyle name="Comma 2 9 2 2 2" xfId="4563"/>
    <cellStyle name="Comma 2 9 2 2 2 2" xfId="4564"/>
    <cellStyle name="Comma 2 9 2 2 2 2 2" xfId="4565"/>
    <cellStyle name="Comma 2 9 2 2 2 2 3" xfId="4566"/>
    <cellStyle name="Comma 2 9 2 2 2 3" xfId="4567"/>
    <cellStyle name="Comma 2 9 2 2 2 3 2" xfId="4568"/>
    <cellStyle name="Comma 2 9 2 2 2 4" xfId="4569"/>
    <cellStyle name="Comma 2 9 2 2 3" xfId="4570"/>
    <cellStyle name="Comma 2 9 2 2 3 2" xfId="4571"/>
    <cellStyle name="Comma 2 9 2 2 3 2 2" xfId="4572"/>
    <cellStyle name="Comma 2 9 2 2 3 3" xfId="4573"/>
    <cellStyle name="Comma 2 9 2 2 4" xfId="4574"/>
    <cellStyle name="Comma 2 9 2 2 4 2" xfId="4575"/>
    <cellStyle name="Comma 2 9 2 2 4 3" xfId="4576"/>
    <cellStyle name="Comma 2 9 2 2 5" xfId="4577"/>
    <cellStyle name="Comma 2 9 2 2 5 2" xfId="4578"/>
    <cellStyle name="Comma 2 9 2 2 6" xfId="4579"/>
    <cellStyle name="Comma 2 9 2 2 6 2" xfId="36018"/>
    <cellStyle name="Comma 2 9 2 2 7" xfId="4580"/>
    <cellStyle name="Comma 2 9 2 3" xfId="4581"/>
    <cellStyle name="Comma 2 9 2 3 2" xfId="4582"/>
    <cellStyle name="Comma 2 9 2 3 2 2" xfId="4583"/>
    <cellStyle name="Comma 2 9 2 3 2 2 2" xfId="4584"/>
    <cellStyle name="Comma 2 9 2 3 2 3" xfId="4585"/>
    <cellStyle name="Comma 2 9 2 3 3" xfId="4586"/>
    <cellStyle name="Comma 2 9 2 3 3 2" xfId="4587"/>
    <cellStyle name="Comma 2 9 2 3 4" xfId="4588"/>
    <cellStyle name="Comma 2 9 2 4" xfId="4589"/>
    <cellStyle name="Comma 2 9 2 4 2" xfId="4590"/>
    <cellStyle name="Comma 2 9 2 4 2 2" xfId="4591"/>
    <cellStyle name="Comma 2 9 2 4 3" xfId="4592"/>
    <cellStyle name="Comma 2 9 2 5" xfId="4593"/>
    <cellStyle name="Comma 2 9 2 5 2" xfId="4594"/>
    <cellStyle name="Comma 2 9 2 5 2 2" xfId="4595"/>
    <cellStyle name="Comma 2 9 2 5 3" xfId="4596"/>
    <cellStyle name="Comma 2 9 2 6" xfId="4597"/>
    <cellStyle name="Comma 2 9 2 6 2" xfId="4598"/>
    <cellStyle name="Comma 2 9 2 7" xfId="4599"/>
    <cellStyle name="Comma 2 9 2 7 2" xfId="36019"/>
    <cellStyle name="Comma 2 9 2 8" xfId="4600"/>
    <cellStyle name="Comma 2 9 3" xfId="4601"/>
    <cellStyle name="Comma 2 9 3 2" xfId="4602"/>
    <cellStyle name="Comma 2 9 3 2 2" xfId="4603"/>
    <cellStyle name="Comma 2 9 3 2 2 2" xfId="4604"/>
    <cellStyle name="Comma 2 9 3 2 2 3" xfId="4605"/>
    <cellStyle name="Comma 2 9 3 2 3" xfId="4606"/>
    <cellStyle name="Comma 2 9 3 2 3 2" xfId="4607"/>
    <cellStyle name="Comma 2 9 3 2 4" xfId="4608"/>
    <cellStyle name="Comma 2 9 3 3" xfId="4609"/>
    <cellStyle name="Comma 2 9 3 3 2" xfId="4610"/>
    <cellStyle name="Comma 2 9 3 3 2 2" xfId="4611"/>
    <cellStyle name="Comma 2 9 3 3 3" xfId="4612"/>
    <cellStyle name="Comma 2 9 3 4" xfId="4613"/>
    <cellStyle name="Comma 2 9 3 4 2" xfId="4614"/>
    <cellStyle name="Comma 2 9 3 4 3" xfId="4615"/>
    <cellStyle name="Comma 2 9 3 5" xfId="4616"/>
    <cellStyle name="Comma 2 9 3 5 2" xfId="4617"/>
    <cellStyle name="Comma 2 9 3 6" xfId="4618"/>
    <cellStyle name="Comma 2 9 3 6 2" xfId="36020"/>
    <cellStyle name="Comma 2 9 3 7" xfId="4619"/>
    <cellStyle name="Comma 2 9 4" xfId="4620"/>
    <cellStyle name="Comma 2 9 4 2" xfId="4621"/>
    <cellStyle name="Comma 2 9 4 2 2" xfId="4622"/>
    <cellStyle name="Comma 2 9 4 2 2 2" xfId="4623"/>
    <cellStyle name="Comma 2 9 4 2 3" xfId="4624"/>
    <cellStyle name="Comma 2 9 4 3" xfId="4625"/>
    <cellStyle name="Comma 2 9 4 3 2" xfId="4626"/>
    <cellStyle name="Comma 2 9 4 4" xfId="4627"/>
    <cellStyle name="Comma 2 9 5" xfId="4628"/>
    <cellStyle name="Comma 2 9 5 2" xfId="4629"/>
    <cellStyle name="Comma 2 9 5 2 2" xfId="4630"/>
    <cellStyle name="Comma 2 9 5 3" xfId="4631"/>
    <cellStyle name="Comma 2 9 6" xfId="4632"/>
    <cellStyle name="Comma 2 9 6 2" xfId="4633"/>
    <cellStyle name="Comma 2 9 6 2 2" xfId="4634"/>
    <cellStyle name="Comma 2 9 6 3" xfId="4635"/>
    <cellStyle name="Comma 2 9 7" xfId="4636"/>
    <cellStyle name="Comma 2 9 7 2" xfId="4637"/>
    <cellStyle name="Comma 2 9 8" xfId="4638"/>
    <cellStyle name="Comma 2 9 8 2" xfId="36021"/>
    <cellStyle name="Comma 2 9 9" xfId="4639"/>
    <cellStyle name="Comma 3" xfId="45"/>
    <cellStyle name="Comma 3 10" xfId="4640"/>
    <cellStyle name="Comma 3 10 2" xfId="4641"/>
    <cellStyle name="Comma 3 10 2 2" xfId="4642"/>
    <cellStyle name="Comma 3 10 2 2 2" xfId="4643"/>
    <cellStyle name="Comma 3 10 2 2 2 2" xfId="4644"/>
    <cellStyle name="Comma 3 10 2 2 2 3" xfId="4645"/>
    <cellStyle name="Comma 3 10 2 2 3" xfId="4646"/>
    <cellStyle name="Comma 3 10 2 2 3 2" xfId="4647"/>
    <cellStyle name="Comma 3 10 2 2 4" xfId="4648"/>
    <cellStyle name="Comma 3 10 2 3" xfId="4649"/>
    <cellStyle name="Comma 3 10 2 3 2" xfId="4650"/>
    <cellStyle name="Comma 3 10 2 3 2 2" xfId="4651"/>
    <cellStyle name="Comma 3 10 2 3 3" xfId="4652"/>
    <cellStyle name="Comma 3 10 2 4" xfId="4653"/>
    <cellStyle name="Comma 3 10 2 4 2" xfId="4654"/>
    <cellStyle name="Comma 3 10 2 4 3" xfId="4655"/>
    <cellStyle name="Comma 3 10 2 5" xfId="4656"/>
    <cellStyle name="Comma 3 10 2 5 2" xfId="4657"/>
    <cellStyle name="Comma 3 10 2 6" xfId="4658"/>
    <cellStyle name="Comma 3 10 2 6 2" xfId="36022"/>
    <cellStyle name="Comma 3 10 2 7" xfId="4659"/>
    <cellStyle name="Comma 3 10 3" xfId="4660"/>
    <cellStyle name="Comma 3 10 3 2" xfId="4661"/>
    <cellStyle name="Comma 3 10 3 2 2" xfId="4662"/>
    <cellStyle name="Comma 3 10 3 2 2 2" xfId="4663"/>
    <cellStyle name="Comma 3 10 3 2 3" xfId="4664"/>
    <cellStyle name="Comma 3 10 3 3" xfId="4665"/>
    <cellStyle name="Comma 3 10 3 3 2" xfId="4666"/>
    <cellStyle name="Comma 3 10 3 4" xfId="4667"/>
    <cellStyle name="Comma 3 10 4" xfId="4668"/>
    <cellStyle name="Comma 3 10 4 2" xfId="4669"/>
    <cellStyle name="Comma 3 10 4 2 2" xfId="4670"/>
    <cellStyle name="Comma 3 10 4 3" xfId="4671"/>
    <cellStyle name="Comma 3 10 5" xfId="4672"/>
    <cellStyle name="Comma 3 10 5 2" xfId="4673"/>
    <cellStyle name="Comma 3 10 5 2 2" xfId="4674"/>
    <cellStyle name="Comma 3 10 5 3" xfId="4675"/>
    <cellStyle name="Comma 3 10 6" xfId="4676"/>
    <cellStyle name="Comma 3 10 6 2" xfId="4677"/>
    <cellStyle name="Comma 3 10 7" xfId="4678"/>
    <cellStyle name="Comma 3 10 7 2" xfId="36023"/>
    <cellStyle name="Comma 3 10 8" xfId="4679"/>
    <cellStyle name="Comma 3 11" xfId="4680"/>
    <cellStyle name="Comma 3 11 2" xfId="4681"/>
    <cellStyle name="Comma 3 11 2 2" xfId="4682"/>
    <cellStyle name="Comma 3 11 2 2 2" xfId="4683"/>
    <cellStyle name="Comma 3 11 2 2 2 2" xfId="4684"/>
    <cellStyle name="Comma 3 11 2 2 2 3" xfId="4685"/>
    <cellStyle name="Comma 3 11 2 2 3" xfId="4686"/>
    <cellStyle name="Comma 3 11 2 2 3 2" xfId="4687"/>
    <cellStyle name="Comma 3 11 2 2 4" xfId="4688"/>
    <cellStyle name="Comma 3 11 2 3" xfId="4689"/>
    <cellStyle name="Comma 3 11 2 3 2" xfId="4690"/>
    <cellStyle name="Comma 3 11 2 3 2 2" xfId="4691"/>
    <cellStyle name="Comma 3 11 2 3 3" xfId="4692"/>
    <cellStyle name="Comma 3 11 2 4" xfId="4693"/>
    <cellStyle name="Comma 3 11 2 4 2" xfId="4694"/>
    <cellStyle name="Comma 3 11 2 4 3" xfId="4695"/>
    <cellStyle name="Comma 3 11 2 5" xfId="4696"/>
    <cellStyle name="Comma 3 11 2 5 2" xfId="4697"/>
    <cellStyle name="Comma 3 11 2 6" xfId="4698"/>
    <cellStyle name="Comma 3 11 2 6 2" xfId="36024"/>
    <cellStyle name="Comma 3 11 2 7" xfId="4699"/>
    <cellStyle name="Comma 3 11 3" xfId="4700"/>
    <cellStyle name="Comma 3 11 3 2" xfId="4701"/>
    <cellStyle name="Comma 3 11 3 2 2" xfId="4702"/>
    <cellStyle name="Comma 3 11 3 2 2 2" xfId="4703"/>
    <cellStyle name="Comma 3 11 3 2 3" xfId="4704"/>
    <cellStyle name="Comma 3 11 3 3" xfId="4705"/>
    <cellStyle name="Comma 3 11 3 3 2" xfId="4706"/>
    <cellStyle name="Comma 3 11 3 4" xfId="4707"/>
    <cellStyle name="Comma 3 11 4" xfId="4708"/>
    <cellStyle name="Comma 3 11 4 2" xfId="4709"/>
    <cellStyle name="Comma 3 11 4 2 2" xfId="4710"/>
    <cellStyle name="Comma 3 11 4 3" xfId="4711"/>
    <cellStyle name="Comma 3 11 5" xfId="4712"/>
    <cellStyle name="Comma 3 11 5 2" xfId="4713"/>
    <cellStyle name="Comma 3 11 5 2 2" xfId="4714"/>
    <cellStyle name="Comma 3 11 5 3" xfId="4715"/>
    <cellStyle name="Comma 3 11 6" xfId="4716"/>
    <cellStyle name="Comma 3 11 6 2" xfId="4717"/>
    <cellStyle name="Comma 3 11 7" xfId="4718"/>
    <cellStyle name="Comma 3 11 7 2" xfId="36025"/>
    <cellStyle name="Comma 3 11 8" xfId="4719"/>
    <cellStyle name="Comma 3 12" xfId="4720"/>
    <cellStyle name="Comma 3 12 2" xfId="4721"/>
    <cellStyle name="Comma 3 12 2 2" xfId="4722"/>
    <cellStyle name="Comma 3 12 2 2 2" xfId="4723"/>
    <cellStyle name="Comma 3 12 2 2 2 2" xfId="4724"/>
    <cellStyle name="Comma 3 12 2 2 2 3" xfId="4725"/>
    <cellStyle name="Comma 3 12 2 2 3" xfId="4726"/>
    <cellStyle name="Comma 3 12 2 2 3 2" xfId="4727"/>
    <cellStyle name="Comma 3 12 2 2 4" xfId="4728"/>
    <cellStyle name="Comma 3 12 2 3" xfId="4729"/>
    <cellStyle name="Comma 3 12 2 3 2" xfId="4730"/>
    <cellStyle name="Comma 3 12 2 3 2 2" xfId="4731"/>
    <cellStyle name="Comma 3 12 2 3 3" xfId="4732"/>
    <cellStyle name="Comma 3 12 2 4" xfId="4733"/>
    <cellStyle name="Comma 3 12 2 4 2" xfId="4734"/>
    <cellStyle name="Comma 3 12 2 4 3" xfId="4735"/>
    <cellStyle name="Comma 3 12 2 5" xfId="4736"/>
    <cellStyle name="Comma 3 12 2 5 2" xfId="4737"/>
    <cellStyle name="Comma 3 12 2 6" xfId="4738"/>
    <cellStyle name="Comma 3 12 2 6 2" xfId="36026"/>
    <cellStyle name="Comma 3 12 2 7" xfId="4739"/>
    <cellStyle name="Comma 3 12 3" xfId="4740"/>
    <cellStyle name="Comma 3 12 3 2" xfId="4741"/>
    <cellStyle name="Comma 3 12 3 2 2" xfId="4742"/>
    <cellStyle name="Comma 3 12 3 2 2 2" xfId="4743"/>
    <cellStyle name="Comma 3 12 3 2 3" xfId="4744"/>
    <cellStyle name="Comma 3 12 3 3" xfId="4745"/>
    <cellStyle name="Comma 3 12 3 3 2" xfId="4746"/>
    <cellStyle name="Comma 3 12 3 4" xfId="4747"/>
    <cellStyle name="Comma 3 12 4" xfId="4748"/>
    <cellStyle name="Comma 3 12 4 2" xfId="4749"/>
    <cellStyle name="Comma 3 12 4 2 2" xfId="4750"/>
    <cellStyle name="Comma 3 12 4 3" xfId="4751"/>
    <cellStyle name="Comma 3 12 5" xfId="4752"/>
    <cellStyle name="Comma 3 12 5 2" xfId="4753"/>
    <cellStyle name="Comma 3 12 5 2 2" xfId="4754"/>
    <cellStyle name="Comma 3 12 5 3" xfId="4755"/>
    <cellStyle name="Comma 3 12 6" xfId="4756"/>
    <cellStyle name="Comma 3 12 6 2" xfId="4757"/>
    <cellStyle name="Comma 3 12 7" xfId="4758"/>
    <cellStyle name="Comma 3 12 7 2" xfId="36027"/>
    <cellStyle name="Comma 3 12 8" xfId="4759"/>
    <cellStyle name="Comma 3 13" xfId="4760"/>
    <cellStyle name="Comma 3 13 2" xfId="4761"/>
    <cellStyle name="Comma 3 13 2 2" xfId="4762"/>
    <cellStyle name="Comma 3 13 2 2 2" xfId="4763"/>
    <cellStyle name="Comma 3 13 2 2 3" xfId="4764"/>
    <cellStyle name="Comma 3 13 2 3" xfId="4765"/>
    <cellStyle name="Comma 3 13 2 3 2" xfId="4766"/>
    <cellStyle name="Comma 3 13 2 4" xfId="4767"/>
    <cellStyle name="Comma 3 13 3" xfId="4768"/>
    <cellStyle name="Comma 3 13 3 2" xfId="4769"/>
    <cellStyle name="Comma 3 13 3 2 2" xfId="4770"/>
    <cellStyle name="Comma 3 13 3 3" xfId="4771"/>
    <cellStyle name="Comma 3 13 4" xfId="4772"/>
    <cellStyle name="Comma 3 13 4 2" xfId="4773"/>
    <cellStyle name="Comma 3 13 4 3" xfId="4774"/>
    <cellStyle name="Comma 3 13 5" xfId="4775"/>
    <cellStyle name="Comma 3 13 5 2" xfId="4776"/>
    <cellStyle name="Comma 3 13 6" xfId="4777"/>
    <cellStyle name="Comma 3 13 6 2" xfId="36028"/>
    <cellStyle name="Comma 3 13 7" xfId="4778"/>
    <cellStyle name="Comma 3 14" xfId="4779"/>
    <cellStyle name="Comma 3 14 2" xfId="4780"/>
    <cellStyle name="Comma 3 14 2 2" xfId="4781"/>
    <cellStyle name="Comma 3 14 2 2 2" xfId="4782"/>
    <cellStyle name="Comma 3 14 2 3" xfId="4783"/>
    <cellStyle name="Comma 3 14 3" xfId="4784"/>
    <cellStyle name="Comma 3 14 3 2" xfId="4785"/>
    <cellStyle name="Comma 3 14 4" xfId="4786"/>
    <cellStyle name="Comma 3 15" xfId="4787"/>
    <cellStyle name="Comma 3 15 2" xfId="4788"/>
    <cellStyle name="Comma 3 15 2 2" xfId="4789"/>
    <cellStyle name="Comma 3 15 3" xfId="4790"/>
    <cellStyle name="Comma 3 16" xfId="4791"/>
    <cellStyle name="Comma 3 16 2" xfId="4792"/>
    <cellStyle name="Comma 3 16 2 2" xfId="4793"/>
    <cellStyle name="Comma 3 16 3" xfId="4794"/>
    <cellStyle name="Comma 3 17" xfId="4795"/>
    <cellStyle name="Comma 3 17 2" xfId="4796"/>
    <cellStyle name="Comma 3 18" xfId="4797"/>
    <cellStyle name="Comma 3 18 2" xfId="36029"/>
    <cellStyle name="Comma 3 19" xfId="4798"/>
    <cellStyle name="Comma 3 2" xfId="179"/>
    <cellStyle name="Comma 3 2 10" xfId="4799"/>
    <cellStyle name="Comma 3 2 10 2" xfId="4800"/>
    <cellStyle name="Comma 3 2 10 2 2" xfId="4801"/>
    <cellStyle name="Comma 3 2 10 2 2 2" xfId="4802"/>
    <cellStyle name="Comma 3 2 10 2 2 2 2" xfId="4803"/>
    <cellStyle name="Comma 3 2 10 2 2 2 3" xfId="4804"/>
    <cellStyle name="Comma 3 2 10 2 2 3" xfId="4805"/>
    <cellStyle name="Comma 3 2 10 2 2 3 2" xfId="4806"/>
    <cellStyle name="Comma 3 2 10 2 2 4" xfId="4807"/>
    <cellStyle name="Comma 3 2 10 2 3" xfId="4808"/>
    <cellStyle name="Comma 3 2 10 2 3 2" xfId="4809"/>
    <cellStyle name="Comma 3 2 10 2 3 2 2" xfId="4810"/>
    <cellStyle name="Comma 3 2 10 2 3 3" xfId="4811"/>
    <cellStyle name="Comma 3 2 10 2 4" xfId="4812"/>
    <cellStyle name="Comma 3 2 10 2 4 2" xfId="4813"/>
    <cellStyle name="Comma 3 2 10 2 4 3" xfId="4814"/>
    <cellStyle name="Comma 3 2 10 2 5" xfId="4815"/>
    <cellStyle name="Comma 3 2 10 2 5 2" xfId="4816"/>
    <cellStyle name="Comma 3 2 10 2 6" xfId="4817"/>
    <cellStyle name="Comma 3 2 10 2 6 2" xfId="36030"/>
    <cellStyle name="Comma 3 2 10 2 7" xfId="4818"/>
    <cellStyle name="Comma 3 2 10 3" xfId="4819"/>
    <cellStyle name="Comma 3 2 10 3 2" xfId="4820"/>
    <cellStyle name="Comma 3 2 10 3 2 2" xfId="4821"/>
    <cellStyle name="Comma 3 2 10 3 2 2 2" xfId="4822"/>
    <cellStyle name="Comma 3 2 10 3 2 3" xfId="4823"/>
    <cellStyle name="Comma 3 2 10 3 3" xfId="4824"/>
    <cellStyle name="Comma 3 2 10 3 3 2" xfId="4825"/>
    <cellStyle name="Comma 3 2 10 3 4" xfId="4826"/>
    <cellStyle name="Comma 3 2 10 4" xfId="4827"/>
    <cellStyle name="Comma 3 2 10 4 2" xfId="4828"/>
    <cellStyle name="Comma 3 2 10 4 2 2" xfId="4829"/>
    <cellStyle name="Comma 3 2 10 4 3" xfId="4830"/>
    <cellStyle name="Comma 3 2 10 5" xfId="4831"/>
    <cellStyle name="Comma 3 2 10 5 2" xfId="4832"/>
    <cellStyle name="Comma 3 2 10 5 2 2" xfId="4833"/>
    <cellStyle name="Comma 3 2 10 5 3" xfId="4834"/>
    <cellStyle name="Comma 3 2 10 6" xfId="4835"/>
    <cellStyle name="Comma 3 2 10 6 2" xfId="4836"/>
    <cellStyle name="Comma 3 2 10 7" xfId="4837"/>
    <cellStyle name="Comma 3 2 10 7 2" xfId="36031"/>
    <cellStyle name="Comma 3 2 10 8" xfId="4838"/>
    <cellStyle name="Comma 3 2 11" xfId="4839"/>
    <cellStyle name="Comma 3 2 11 2" xfId="4840"/>
    <cellStyle name="Comma 3 2 11 2 2" xfId="4841"/>
    <cellStyle name="Comma 3 2 11 2 2 2" xfId="4842"/>
    <cellStyle name="Comma 3 2 11 2 2 2 2" xfId="4843"/>
    <cellStyle name="Comma 3 2 11 2 2 2 3" xfId="4844"/>
    <cellStyle name="Comma 3 2 11 2 2 3" xfId="4845"/>
    <cellStyle name="Comma 3 2 11 2 2 3 2" xfId="4846"/>
    <cellStyle name="Comma 3 2 11 2 2 4" xfId="4847"/>
    <cellStyle name="Comma 3 2 11 2 3" xfId="4848"/>
    <cellStyle name="Comma 3 2 11 2 3 2" xfId="4849"/>
    <cellStyle name="Comma 3 2 11 2 3 2 2" xfId="4850"/>
    <cellStyle name="Comma 3 2 11 2 3 3" xfId="4851"/>
    <cellStyle name="Comma 3 2 11 2 4" xfId="4852"/>
    <cellStyle name="Comma 3 2 11 2 4 2" xfId="4853"/>
    <cellStyle name="Comma 3 2 11 2 4 3" xfId="4854"/>
    <cellStyle name="Comma 3 2 11 2 5" xfId="4855"/>
    <cellStyle name="Comma 3 2 11 2 5 2" xfId="4856"/>
    <cellStyle name="Comma 3 2 11 2 6" xfId="4857"/>
    <cellStyle name="Comma 3 2 11 2 6 2" xfId="36032"/>
    <cellStyle name="Comma 3 2 11 2 7" xfId="4858"/>
    <cellStyle name="Comma 3 2 11 3" xfId="4859"/>
    <cellStyle name="Comma 3 2 11 3 2" xfId="4860"/>
    <cellStyle name="Comma 3 2 11 3 2 2" xfId="4861"/>
    <cellStyle name="Comma 3 2 11 3 2 2 2" xfId="4862"/>
    <cellStyle name="Comma 3 2 11 3 2 3" xfId="4863"/>
    <cellStyle name="Comma 3 2 11 3 3" xfId="4864"/>
    <cellStyle name="Comma 3 2 11 3 3 2" xfId="4865"/>
    <cellStyle name="Comma 3 2 11 3 4" xfId="4866"/>
    <cellStyle name="Comma 3 2 11 4" xfId="4867"/>
    <cellStyle name="Comma 3 2 11 4 2" xfId="4868"/>
    <cellStyle name="Comma 3 2 11 4 2 2" xfId="4869"/>
    <cellStyle name="Comma 3 2 11 4 3" xfId="4870"/>
    <cellStyle name="Comma 3 2 11 5" xfId="4871"/>
    <cellStyle name="Comma 3 2 11 5 2" xfId="4872"/>
    <cellStyle name="Comma 3 2 11 5 2 2" xfId="4873"/>
    <cellStyle name="Comma 3 2 11 5 3" xfId="4874"/>
    <cellStyle name="Comma 3 2 11 6" xfId="4875"/>
    <cellStyle name="Comma 3 2 11 6 2" xfId="4876"/>
    <cellStyle name="Comma 3 2 11 7" xfId="4877"/>
    <cellStyle name="Comma 3 2 11 7 2" xfId="36033"/>
    <cellStyle name="Comma 3 2 11 8" xfId="4878"/>
    <cellStyle name="Comma 3 2 12" xfId="4879"/>
    <cellStyle name="Comma 3 2 12 2" xfId="4880"/>
    <cellStyle name="Comma 3 2 12 2 2" xfId="4881"/>
    <cellStyle name="Comma 3 2 12 2 2 2" xfId="4882"/>
    <cellStyle name="Comma 3 2 12 2 2 3" xfId="4883"/>
    <cellStyle name="Comma 3 2 12 2 3" xfId="4884"/>
    <cellStyle name="Comma 3 2 12 2 3 2" xfId="4885"/>
    <cellStyle name="Comma 3 2 12 2 4" xfId="4886"/>
    <cellStyle name="Comma 3 2 12 3" xfId="4887"/>
    <cellStyle name="Comma 3 2 12 3 2" xfId="4888"/>
    <cellStyle name="Comma 3 2 12 3 2 2" xfId="4889"/>
    <cellStyle name="Comma 3 2 12 3 3" xfId="4890"/>
    <cellStyle name="Comma 3 2 12 4" xfId="4891"/>
    <cellStyle name="Comma 3 2 12 4 2" xfId="4892"/>
    <cellStyle name="Comma 3 2 12 4 3" xfId="4893"/>
    <cellStyle name="Comma 3 2 12 5" xfId="4894"/>
    <cellStyle name="Comma 3 2 12 5 2" xfId="4895"/>
    <cellStyle name="Comma 3 2 12 6" xfId="4896"/>
    <cellStyle name="Comma 3 2 12 6 2" xfId="36034"/>
    <cellStyle name="Comma 3 2 12 7" xfId="4897"/>
    <cellStyle name="Comma 3 2 13" xfId="4898"/>
    <cellStyle name="Comma 3 2 13 2" xfId="4899"/>
    <cellStyle name="Comma 3 2 13 2 2" xfId="4900"/>
    <cellStyle name="Comma 3 2 13 2 2 2" xfId="4901"/>
    <cellStyle name="Comma 3 2 13 2 3" xfId="4902"/>
    <cellStyle name="Comma 3 2 13 3" xfId="4903"/>
    <cellStyle name="Comma 3 2 13 3 2" xfId="4904"/>
    <cellStyle name="Comma 3 2 13 4" xfId="4905"/>
    <cellStyle name="Comma 3 2 14" xfId="4906"/>
    <cellStyle name="Comma 3 2 14 2" xfId="4907"/>
    <cellStyle name="Comma 3 2 14 2 2" xfId="4908"/>
    <cellStyle name="Comma 3 2 14 3" xfId="4909"/>
    <cellStyle name="Comma 3 2 15" xfId="4910"/>
    <cellStyle name="Comma 3 2 15 2" xfId="4911"/>
    <cellStyle name="Comma 3 2 15 2 2" xfId="4912"/>
    <cellStyle name="Comma 3 2 15 3" xfId="4913"/>
    <cellStyle name="Comma 3 2 16" xfId="4914"/>
    <cellStyle name="Comma 3 2 16 2" xfId="4915"/>
    <cellStyle name="Comma 3 2 17" xfId="4916"/>
    <cellStyle name="Comma 3 2 17 2" xfId="36035"/>
    <cellStyle name="Comma 3 2 18" xfId="4917"/>
    <cellStyle name="Comma 3 2 2" xfId="4918"/>
    <cellStyle name="Comma 3 2 2 10" xfId="4919"/>
    <cellStyle name="Comma 3 2 2 10 2" xfId="4920"/>
    <cellStyle name="Comma 3 2 2 10 2 2" xfId="4921"/>
    <cellStyle name="Comma 3 2 2 10 3" xfId="4922"/>
    <cellStyle name="Comma 3 2 2 11" xfId="4923"/>
    <cellStyle name="Comma 3 2 2 11 2" xfId="4924"/>
    <cellStyle name="Comma 3 2 2 11 2 2" xfId="4925"/>
    <cellStyle name="Comma 3 2 2 11 3" xfId="4926"/>
    <cellStyle name="Comma 3 2 2 12" xfId="4927"/>
    <cellStyle name="Comma 3 2 2 12 2" xfId="4928"/>
    <cellStyle name="Comma 3 2 2 13" xfId="4929"/>
    <cellStyle name="Comma 3 2 2 13 2" xfId="36036"/>
    <cellStyle name="Comma 3 2 2 14" xfId="4930"/>
    <cellStyle name="Comma 3 2 2 2" xfId="4931"/>
    <cellStyle name="Comma 3 2 2 2 10" xfId="4932"/>
    <cellStyle name="Comma 3 2 2 2 2" xfId="4933"/>
    <cellStyle name="Comma 3 2 2 2 2 2" xfId="4934"/>
    <cellStyle name="Comma 3 2 2 2 2 2 2" xfId="4935"/>
    <cellStyle name="Comma 3 2 2 2 2 2 2 2" xfId="4936"/>
    <cellStyle name="Comma 3 2 2 2 2 2 2 2 2" xfId="4937"/>
    <cellStyle name="Comma 3 2 2 2 2 2 2 2 2 2" xfId="4938"/>
    <cellStyle name="Comma 3 2 2 2 2 2 2 2 2 3" xfId="4939"/>
    <cellStyle name="Comma 3 2 2 2 2 2 2 2 3" xfId="4940"/>
    <cellStyle name="Comma 3 2 2 2 2 2 2 2 3 2" xfId="4941"/>
    <cellStyle name="Comma 3 2 2 2 2 2 2 2 4" xfId="4942"/>
    <cellStyle name="Comma 3 2 2 2 2 2 2 3" xfId="4943"/>
    <cellStyle name="Comma 3 2 2 2 2 2 2 3 2" xfId="4944"/>
    <cellStyle name="Comma 3 2 2 2 2 2 2 3 2 2" xfId="4945"/>
    <cellStyle name="Comma 3 2 2 2 2 2 2 3 3" xfId="4946"/>
    <cellStyle name="Comma 3 2 2 2 2 2 2 4" xfId="4947"/>
    <cellStyle name="Comma 3 2 2 2 2 2 2 4 2" xfId="4948"/>
    <cellStyle name="Comma 3 2 2 2 2 2 2 4 3" xfId="4949"/>
    <cellStyle name="Comma 3 2 2 2 2 2 2 5" xfId="4950"/>
    <cellStyle name="Comma 3 2 2 2 2 2 2 5 2" xfId="4951"/>
    <cellStyle name="Comma 3 2 2 2 2 2 2 6" xfId="4952"/>
    <cellStyle name="Comma 3 2 2 2 2 2 2 6 2" xfId="36037"/>
    <cellStyle name="Comma 3 2 2 2 2 2 2 7" xfId="4953"/>
    <cellStyle name="Comma 3 2 2 2 2 2 3" xfId="4954"/>
    <cellStyle name="Comma 3 2 2 2 2 2 3 2" xfId="4955"/>
    <cellStyle name="Comma 3 2 2 2 2 2 3 2 2" xfId="4956"/>
    <cellStyle name="Comma 3 2 2 2 2 2 3 2 2 2" xfId="4957"/>
    <cellStyle name="Comma 3 2 2 2 2 2 3 2 3" xfId="4958"/>
    <cellStyle name="Comma 3 2 2 2 2 2 3 3" xfId="4959"/>
    <cellStyle name="Comma 3 2 2 2 2 2 3 3 2" xfId="4960"/>
    <cellStyle name="Comma 3 2 2 2 2 2 3 4" xfId="4961"/>
    <cellStyle name="Comma 3 2 2 2 2 2 4" xfId="4962"/>
    <cellStyle name="Comma 3 2 2 2 2 2 4 2" xfId="4963"/>
    <cellStyle name="Comma 3 2 2 2 2 2 4 2 2" xfId="4964"/>
    <cellStyle name="Comma 3 2 2 2 2 2 4 3" xfId="4965"/>
    <cellStyle name="Comma 3 2 2 2 2 2 5" xfId="4966"/>
    <cellStyle name="Comma 3 2 2 2 2 2 5 2" xfId="4967"/>
    <cellStyle name="Comma 3 2 2 2 2 2 5 2 2" xfId="4968"/>
    <cellStyle name="Comma 3 2 2 2 2 2 5 3" xfId="4969"/>
    <cellStyle name="Comma 3 2 2 2 2 2 6" xfId="4970"/>
    <cellStyle name="Comma 3 2 2 2 2 2 6 2" xfId="4971"/>
    <cellStyle name="Comma 3 2 2 2 2 2 7" xfId="4972"/>
    <cellStyle name="Comma 3 2 2 2 2 2 7 2" xfId="36038"/>
    <cellStyle name="Comma 3 2 2 2 2 2 8" xfId="4973"/>
    <cellStyle name="Comma 3 2 2 2 2 3" xfId="4974"/>
    <cellStyle name="Comma 3 2 2 2 2 3 2" xfId="4975"/>
    <cellStyle name="Comma 3 2 2 2 2 3 2 2" xfId="4976"/>
    <cellStyle name="Comma 3 2 2 2 2 3 2 2 2" xfId="4977"/>
    <cellStyle name="Comma 3 2 2 2 2 3 2 2 3" xfId="4978"/>
    <cellStyle name="Comma 3 2 2 2 2 3 2 3" xfId="4979"/>
    <cellStyle name="Comma 3 2 2 2 2 3 2 3 2" xfId="4980"/>
    <cellStyle name="Comma 3 2 2 2 2 3 2 4" xfId="4981"/>
    <cellStyle name="Comma 3 2 2 2 2 3 3" xfId="4982"/>
    <cellStyle name="Comma 3 2 2 2 2 3 3 2" xfId="4983"/>
    <cellStyle name="Comma 3 2 2 2 2 3 3 2 2" xfId="4984"/>
    <cellStyle name="Comma 3 2 2 2 2 3 3 3" xfId="4985"/>
    <cellStyle name="Comma 3 2 2 2 2 3 4" xfId="4986"/>
    <cellStyle name="Comma 3 2 2 2 2 3 4 2" xfId="4987"/>
    <cellStyle name="Comma 3 2 2 2 2 3 4 3" xfId="4988"/>
    <cellStyle name="Comma 3 2 2 2 2 3 5" xfId="4989"/>
    <cellStyle name="Comma 3 2 2 2 2 3 5 2" xfId="4990"/>
    <cellStyle name="Comma 3 2 2 2 2 3 6" xfId="4991"/>
    <cellStyle name="Comma 3 2 2 2 2 3 6 2" xfId="36039"/>
    <cellStyle name="Comma 3 2 2 2 2 3 7" xfId="4992"/>
    <cellStyle name="Comma 3 2 2 2 2 4" xfId="4993"/>
    <cellStyle name="Comma 3 2 2 2 2 4 2" xfId="4994"/>
    <cellStyle name="Comma 3 2 2 2 2 4 2 2" xfId="4995"/>
    <cellStyle name="Comma 3 2 2 2 2 4 2 2 2" xfId="4996"/>
    <cellStyle name="Comma 3 2 2 2 2 4 2 3" xfId="4997"/>
    <cellStyle name="Comma 3 2 2 2 2 4 3" xfId="4998"/>
    <cellStyle name="Comma 3 2 2 2 2 4 3 2" xfId="4999"/>
    <cellStyle name="Comma 3 2 2 2 2 4 4" xfId="5000"/>
    <cellStyle name="Comma 3 2 2 2 2 5" xfId="5001"/>
    <cellStyle name="Comma 3 2 2 2 2 5 2" xfId="5002"/>
    <cellStyle name="Comma 3 2 2 2 2 5 2 2" xfId="5003"/>
    <cellStyle name="Comma 3 2 2 2 2 5 3" xfId="5004"/>
    <cellStyle name="Comma 3 2 2 2 2 6" xfId="5005"/>
    <cellStyle name="Comma 3 2 2 2 2 6 2" xfId="5006"/>
    <cellStyle name="Comma 3 2 2 2 2 6 2 2" xfId="5007"/>
    <cellStyle name="Comma 3 2 2 2 2 6 3" xfId="5008"/>
    <cellStyle name="Comma 3 2 2 2 2 7" xfId="5009"/>
    <cellStyle name="Comma 3 2 2 2 2 7 2" xfId="5010"/>
    <cellStyle name="Comma 3 2 2 2 2 8" xfId="5011"/>
    <cellStyle name="Comma 3 2 2 2 2 8 2" xfId="36040"/>
    <cellStyle name="Comma 3 2 2 2 2 9" xfId="5012"/>
    <cellStyle name="Comma 3 2 2 2 3" xfId="5013"/>
    <cellStyle name="Comma 3 2 2 2 3 2" xfId="5014"/>
    <cellStyle name="Comma 3 2 2 2 3 2 2" xfId="5015"/>
    <cellStyle name="Comma 3 2 2 2 3 2 2 2" xfId="5016"/>
    <cellStyle name="Comma 3 2 2 2 3 2 2 2 2" xfId="5017"/>
    <cellStyle name="Comma 3 2 2 2 3 2 2 2 3" xfId="5018"/>
    <cellStyle name="Comma 3 2 2 2 3 2 2 3" xfId="5019"/>
    <cellStyle name="Comma 3 2 2 2 3 2 2 3 2" xfId="5020"/>
    <cellStyle name="Comma 3 2 2 2 3 2 2 4" xfId="5021"/>
    <cellStyle name="Comma 3 2 2 2 3 2 3" xfId="5022"/>
    <cellStyle name="Comma 3 2 2 2 3 2 3 2" xfId="5023"/>
    <cellStyle name="Comma 3 2 2 2 3 2 3 2 2" xfId="5024"/>
    <cellStyle name="Comma 3 2 2 2 3 2 3 3" xfId="5025"/>
    <cellStyle name="Comma 3 2 2 2 3 2 4" xfId="5026"/>
    <cellStyle name="Comma 3 2 2 2 3 2 4 2" xfId="5027"/>
    <cellStyle name="Comma 3 2 2 2 3 2 4 3" xfId="5028"/>
    <cellStyle name="Comma 3 2 2 2 3 2 5" xfId="5029"/>
    <cellStyle name="Comma 3 2 2 2 3 2 5 2" xfId="5030"/>
    <cellStyle name="Comma 3 2 2 2 3 2 6" xfId="5031"/>
    <cellStyle name="Comma 3 2 2 2 3 2 6 2" xfId="36041"/>
    <cellStyle name="Comma 3 2 2 2 3 2 7" xfId="5032"/>
    <cellStyle name="Comma 3 2 2 2 3 3" xfId="5033"/>
    <cellStyle name="Comma 3 2 2 2 3 3 2" xfId="5034"/>
    <cellStyle name="Comma 3 2 2 2 3 3 2 2" xfId="5035"/>
    <cellStyle name="Comma 3 2 2 2 3 3 2 2 2" xfId="5036"/>
    <cellStyle name="Comma 3 2 2 2 3 3 2 3" xfId="5037"/>
    <cellStyle name="Comma 3 2 2 2 3 3 3" xfId="5038"/>
    <cellStyle name="Comma 3 2 2 2 3 3 3 2" xfId="5039"/>
    <cellStyle name="Comma 3 2 2 2 3 3 4" xfId="5040"/>
    <cellStyle name="Comma 3 2 2 2 3 4" xfId="5041"/>
    <cellStyle name="Comma 3 2 2 2 3 4 2" xfId="5042"/>
    <cellStyle name="Comma 3 2 2 2 3 4 2 2" xfId="5043"/>
    <cellStyle name="Comma 3 2 2 2 3 4 3" xfId="5044"/>
    <cellStyle name="Comma 3 2 2 2 3 5" xfId="5045"/>
    <cellStyle name="Comma 3 2 2 2 3 5 2" xfId="5046"/>
    <cellStyle name="Comma 3 2 2 2 3 5 2 2" xfId="5047"/>
    <cellStyle name="Comma 3 2 2 2 3 5 3" xfId="5048"/>
    <cellStyle name="Comma 3 2 2 2 3 6" xfId="5049"/>
    <cellStyle name="Comma 3 2 2 2 3 6 2" xfId="5050"/>
    <cellStyle name="Comma 3 2 2 2 3 7" xfId="5051"/>
    <cellStyle name="Comma 3 2 2 2 3 7 2" xfId="36042"/>
    <cellStyle name="Comma 3 2 2 2 3 8" xfId="5052"/>
    <cellStyle name="Comma 3 2 2 2 4" xfId="5053"/>
    <cellStyle name="Comma 3 2 2 2 4 2" xfId="5054"/>
    <cellStyle name="Comma 3 2 2 2 4 2 2" xfId="5055"/>
    <cellStyle name="Comma 3 2 2 2 4 2 2 2" xfId="5056"/>
    <cellStyle name="Comma 3 2 2 2 4 2 2 3" xfId="5057"/>
    <cellStyle name="Comma 3 2 2 2 4 2 3" xfId="5058"/>
    <cellStyle name="Comma 3 2 2 2 4 2 3 2" xfId="5059"/>
    <cellStyle name="Comma 3 2 2 2 4 2 4" xfId="5060"/>
    <cellStyle name="Comma 3 2 2 2 4 3" xfId="5061"/>
    <cellStyle name="Comma 3 2 2 2 4 3 2" xfId="5062"/>
    <cellStyle name="Comma 3 2 2 2 4 3 2 2" xfId="5063"/>
    <cellStyle name="Comma 3 2 2 2 4 3 3" xfId="5064"/>
    <cellStyle name="Comma 3 2 2 2 4 4" xfId="5065"/>
    <cellStyle name="Comma 3 2 2 2 4 4 2" xfId="5066"/>
    <cellStyle name="Comma 3 2 2 2 4 4 3" xfId="5067"/>
    <cellStyle name="Comma 3 2 2 2 4 5" xfId="5068"/>
    <cellStyle name="Comma 3 2 2 2 4 5 2" xfId="5069"/>
    <cellStyle name="Comma 3 2 2 2 4 6" xfId="5070"/>
    <cellStyle name="Comma 3 2 2 2 4 6 2" xfId="36043"/>
    <cellStyle name="Comma 3 2 2 2 4 7" xfId="5071"/>
    <cellStyle name="Comma 3 2 2 2 5" xfId="5072"/>
    <cellStyle name="Comma 3 2 2 2 5 2" xfId="5073"/>
    <cellStyle name="Comma 3 2 2 2 5 2 2" xfId="5074"/>
    <cellStyle name="Comma 3 2 2 2 5 2 2 2" xfId="5075"/>
    <cellStyle name="Comma 3 2 2 2 5 2 3" xfId="5076"/>
    <cellStyle name="Comma 3 2 2 2 5 3" xfId="5077"/>
    <cellStyle name="Comma 3 2 2 2 5 3 2" xfId="5078"/>
    <cellStyle name="Comma 3 2 2 2 5 4" xfId="5079"/>
    <cellStyle name="Comma 3 2 2 2 6" xfId="5080"/>
    <cellStyle name="Comma 3 2 2 2 6 2" xfId="5081"/>
    <cellStyle name="Comma 3 2 2 2 6 2 2" xfId="5082"/>
    <cellStyle name="Comma 3 2 2 2 6 3" xfId="5083"/>
    <cellStyle name="Comma 3 2 2 2 7" xfId="5084"/>
    <cellStyle name="Comma 3 2 2 2 7 2" xfId="5085"/>
    <cellStyle name="Comma 3 2 2 2 7 2 2" xfId="5086"/>
    <cellStyle name="Comma 3 2 2 2 7 3" xfId="5087"/>
    <cellStyle name="Comma 3 2 2 2 8" xfId="5088"/>
    <cellStyle name="Comma 3 2 2 2 8 2" xfId="5089"/>
    <cellStyle name="Comma 3 2 2 2 9" xfId="5090"/>
    <cellStyle name="Comma 3 2 2 2 9 2" xfId="36044"/>
    <cellStyle name="Comma 3 2 2 3" xfId="5091"/>
    <cellStyle name="Comma 3 2 2 3 2" xfId="5092"/>
    <cellStyle name="Comma 3 2 2 3 2 2" xfId="5093"/>
    <cellStyle name="Comma 3 2 2 3 2 2 2" xfId="5094"/>
    <cellStyle name="Comma 3 2 2 3 2 2 2 2" xfId="5095"/>
    <cellStyle name="Comma 3 2 2 3 2 2 2 2 2" xfId="5096"/>
    <cellStyle name="Comma 3 2 2 3 2 2 2 2 3" xfId="5097"/>
    <cellStyle name="Comma 3 2 2 3 2 2 2 3" xfId="5098"/>
    <cellStyle name="Comma 3 2 2 3 2 2 2 3 2" xfId="5099"/>
    <cellStyle name="Comma 3 2 2 3 2 2 2 4" xfId="5100"/>
    <cellStyle name="Comma 3 2 2 3 2 2 3" xfId="5101"/>
    <cellStyle name="Comma 3 2 2 3 2 2 3 2" xfId="5102"/>
    <cellStyle name="Comma 3 2 2 3 2 2 3 2 2" xfId="5103"/>
    <cellStyle name="Comma 3 2 2 3 2 2 3 3" xfId="5104"/>
    <cellStyle name="Comma 3 2 2 3 2 2 4" xfId="5105"/>
    <cellStyle name="Comma 3 2 2 3 2 2 4 2" xfId="5106"/>
    <cellStyle name="Comma 3 2 2 3 2 2 4 3" xfId="5107"/>
    <cellStyle name="Comma 3 2 2 3 2 2 5" xfId="5108"/>
    <cellStyle name="Comma 3 2 2 3 2 2 5 2" xfId="5109"/>
    <cellStyle name="Comma 3 2 2 3 2 2 6" xfId="5110"/>
    <cellStyle name="Comma 3 2 2 3 2 2 6 2" xfId="36045"/>
    <cellStyle name="Comma 3 2 2 3 2 2 7" xfId="5111"/>
    <cellStyle name="Comma 3 2 2 3 2 3" xfId="5112"/>
    <cellStyle name="Comma 3 2 2 3 2 3 2" xfId="5113"/>
    <cellStyle name="Comma 3 2 2 3 2 3 2 2" xfId="5114"/>
    <cellStyle name="Comma 3 2 2 3 2 3 2 2 2" xfId="5115"/>
    <cellStyle name="Comma 3 2 2 3 2 3 2 3" xfId="5116"/>
    <cellStyle name="Comma 3 2 2 3 2 3 3" xfId="5117"/>
    <cellStyle name="Comma 3 2 2 3 2 3 3 2" xfId="5118"/>
    <cellStyle name="Comma 3 2 2 3 2 3 4" xfId="5119"/>
    <cellStyle name="Comma 3 2 2 3 2 4" xfId="5120"/>
    <cellStyle name="Comma 3 2 2 3 2 4 2" xfId="5121"/>
    <cellStyle name="Comma 3 2 2 3 2 4 2 2" xfId="5122"/>
    <cellStyle name="Comma 3 2 2 3 2 4 3" xfId="5123"/>
    <cellStyle name="Comma 3 2 2 3 2 5" xfId="5124"/>
    <cellStyle name="Comma 3 2 2 3 2 5 2" xfId="5125"/>
    <cellStyle name="Comma 3 2 2 3 2 5 2 2" xfId="5126"/>
    <cellStyle name="Comma 3 2 2 3 2 5 3" xfId="5127"/>
    <cellStyle name="Comma 3 2 2 3 2 6" xfId="5128"/>
    <cellStyle name="Comma 3 2 2 3 2 6 2" xfId="5129"/>
    <cellStyle name="Comma 3 2 2 3 2 7" xfId="5130"/>
    <cellStyle name="Comma 3 2 2 3 2 7 2" xfId="36046"/>
    <cellStyle name="Comma 3 2 2 3 2 8" xfId="5131"/>
    <cellStyle name="Comma 3 2 2 3 3" xfId="5132"/>
    <cellStyle name="Comma 3 2 2 3 3 2" xfId="5133"/>
    <cellStyle name="Comma 3 2 2 3 3 2 2" xfId="5134"/>
    <cellStyle name="Comma 3 2 2 3 3 2 2 2" xfId="5135"/>
    <cellStyle name="Comma 3 2 2 3 3 2 2 3" xfId="5136"/>
    <cellStyle name="Comma 3 2 2 3 3 2 3" xfId="5137"/>
    <cellStyle name="Comma 3 2 2 3 3 2 3 2" xfId="5138"/>
    <cellStyle name="Comma 3 2 2 3 3 2 4" xfId="5139"/>
    <cellStyle name="Comma 3 2 2 3 3 3" xfId="5140"/>
    <cellStyle name="Comma 3 2 2 3 3 3 2" xfId="5141"/>
    <cellStyle name="Comma 3 2 2 3 3 3 2 2" xfId="5142"/>
    <cellStyle name="Comma 3 2 2 3 3 3 3" xfId="5143"/>
    <cellStyle name="Comma 3 2 2 3 3 4" xfId="5144"/>
    <cellStyle name="Comma 3 2 2 3 3 4 2" xfId="5145"/>
    <cellStyle name="Comma 3 2 2 3 3 4 3" xfId="5146"/>
    <cellStyle name="Comma 3 2 2 3 3 5" xfId="5147"/>
    <cellStyle name="Comma 3 2 2 3 3 5 2" xfId="5148"/>
    <cellStyle name="Comma 3 2 2 3 3 6" xfId="5149"/>
    <cellStyle name="Comma 3 2 2 3 3 6 2" xfId="36047"/>
    <cellStyle name="Comma 3 2 2 3 3 7" xfId="5150"/>
    <cellStyle name="Comma 3 2 2 3 4" xfId="5151"/>
    <cellStyle name="Comma 3 2 2 3 4 2" xfId="5152"/>
    <cellStyle name="Comma 3 2 2 3 4 2 2" xfId="5153"/>
    <cellStyle name="Comma 3 2 2 3 4 2 2 2" xfId="5154"/>
    <cellStyle name="Comma 3 2 2 3 4 2 3" xfId="5155"/>
    <cellStyle name="Comma 3 2 2 3 4 3" xfId="5156"/>
    <cellStyle name="Comma 3 2 2 3 4 3 2" xfId="5157"/>
    <cellStyle name="Comma 3 2 2 3 4 4" xfId="5158"/>
    <cellStyle name="Comma 3 2 2 3 5" xfId="5159"/>
    <cellStyle name="Comma 3 2 2 3 5 2" xfId="5160"/>
    <cellStyle name="Comma 3 2 2 3 5 2 2" xfId="5161"/>
    <cellStyle name="Comma 3 2 2 3 5 3" xfId="5162"/>
    <cellStyle name="Comma 3 2 2 3 6" xfId="5163"/>
    <cellStyle name="Comma 3 2 2 3 6 2" xfId="5164"/>
    <cellStyle name="Comma 3 2 2 3 6 2 2" xfId="5165"/>
    <cellStyle name="Comma 3 2 2 3 6 3" xfId="5166"/>
    <cellStyle name="Comma 3 2 2 3 7" xfId="5167"/>
    <cellStyle name="Comma 3 2 2 3 7 2" xfId="5168"/>
    <cellStyle name="Comma 3 2 2 3 8" xfId="5169"/>
    <cellStyle name="Comma 3 2 2 3 8 2" xfId="36048"/>
    <cellStyle name="Comma 3 2 2 3 9" xfId="5170"/>
    <cellStyle name="Comma 3 2 2 4" xfId="5171"/>
    <cellStyle name="Comma 3 2 2 4 2" xfId="5172"/>
    <cellStyle name="Comma 3 2 2 4 2 2" xfId="5173"/>
    <cellStyle name="Comma 3 2 2 4 2 2 2" xfId="5174"/>
    <cellStyle name="Comma 3 2 2 4 2 2 2 2" xfId="5175"/>
    <cellStyle name="Comma 3 2 2 4 2 2 2 2 2" xfId="5176"/>
    <cellStyle name="Comma 3 2 2 4 2 2 2 2 3" xfId="5177"/>
    <cellStyle name="Comma 3 2 2 4 2 2 2 3" xfId="5178"/>
    <cellStyle name="Comma 3 2 2 4 2 2 2 3 2" xfId="5179"/>
    <cellStyle name="Comma 3 2 2 4 2 2 2 4" xfId="5180"/>
    <cellStyle name="Comma 3 2 2 4 2 2 3" xfId="5181"/>
    <cellStyle name="Comma 3 2 2 4 2 2 3 2" xfId="5182"/>
    <cellStyle name="Comma 3 2 2 4 2 2 3 2 2" xfId="5183"/>
    <cellStyle name="Comma 3 2 2 4 2 2 3 3" xfId="5184"/>
    <cellStyle name="Comma 3 2 2 4 2 2 4" xfId="5185"/>
    <cellStyle name="Comma 3 2 2 4 2 2 4 2" xfId="5186"/>
    <cellStyle name="Comma 3 2 2 4 2 2 4 3" xfId="5187"/>
    <cellStyle name="Comma 3 2 2 4 2 2 5" xfId="5188"/>
    <cellStyle name="Comma 3 2 2 4 2 2 5 2" xfId="5189"/>
    <cellStyle name="Comma 3 2 2 4 2 2 6" xfId="5190"/>
    <cellStyle name="Comma 3 2 2 4 2 2 6 2" xfId="36049"/>
    <cellStyle name="Comma 3 2 2 4 2 2 7" xfId="5191"/>
    <cellStyle name="Comma 3 2 2 4 2 3" xfId="5192"/>
    <cellStyle name="Comma 3 2 2 4 2 3 2" xfId="5193"/>
    <cellStyle name="Comma 3 2 2 4 2 3 2 2" xfId="5194"/>
    <cellStyle name="Comma 3 2 2 4 2 3 2 2 2" xfId="5195"/>
    <cellStyle name="Comma 3 2 2 4 2 3 2 3" xfId="5196"/>
    <cellStyle name="Comma 3 2 2 4 2 3 3" xfId="5197"/>
    <cellStyle name="Comma 3 2 2 4 2 3 3 2" xfId="5198"/>
    <cellStyle name="Comma 3 2 2 4 2 3 4" xfId="5199"/>
    <cellStyle name="Comma 3 2 2 4 2 4" xfId="5200"/>
    <cellStyle name="Comma 3 2 2 4 2 4 2" xfId="5201"/>
    <cellStyle name="Comma 3 2 2 4 2 4 2 2" xfId="5202"/>
    <cellStyle name="Comma 3 2 2 4 2 4 3" xfId="5203"/>
    <cellStyle name="Comma 3 2 2 4 2 5" xfId="5204"/>
    <cellStyle name="Comma 3 2 2 4 2 5 2" xfId="5205"/>
    <cellStyle name="Comma 3 2 2 4 2 5 2 2" xfId="5206"/>
    <cellStyle name="Comma 3 2 2 4 2 5 3" xfId="5207"/>
    <cellStyle name="Comma 3 2 2 4 2 6" xfId="5208"/>
    <cellStyle name="Comma 3 2 2 4 2 6 2" xfId="5209"/>
    <cellStyle name="Comma 3 2 2 4 2 7" xfId="5210"/>
    <cellStyle name="Comma 3 2 2 4 2 7 2" xfId="36050"/>
    <cellStyle name="Comma 3 2 2 4 2 8" xfId="5211"/>
    <cellStyle name="Comma 3 2 2 4 3" xfId="5212"/>
    <cellStyle name="Comma 3 2 2 4 3 2" xfId="5213"/>
    <cellStyle name="Comma 3 2 2 4 3 2 2" xfId="5214"/>
    <cellStyle name="Comma 3 2 2 4 3 2 2 2" xfId="5215"/>
    <cellStyle name="Comma 3 2 2 4 3 2 2 3" xfId="5216"/>
    <cellStyle name="Comma 3 2 2 4 3 2 3" xfId="5217"/>
    <cellStyle name="Comma 3 2 2 4 3 2 3 2" xfId="5218"/>
    <cellStyle name="Comma 3 2 2 4 3 2 4" xfId="5219"/>
    <cellStyle name="Comma 3 2 2 4 3 3" xfId="5220"/>
    <cellStyle name="Comma 3 2 2 4 3 3 2" xfId="5221"/>
    <cellStyle name="Comma 3 2 2 4 3 3 2 2" xfId="5222"/>
    <cellStyle name="Comma 3 2 2 4 3 3 3" xfId="5223"/>
    <cellStyle name="Comma 3 2 2 4 3 4" xfId="5224"/>
    <cellStyle name="Comma 3 2 2 4 3 4 2" xfId="5225"/>
    <cellStyle name="Comma 3 2 2 4 3 4 3" xfId="5226"/>
    <cellStyle name="Comma 3 2 2 4 3 5" xfId="5227"/>
    <cellStyle name="Comma 3 2 2 4 3 5 2" xfId="5228"/>
    <cellStyle name="Comma 3 2 2 4 3 6" xfId="5229"/>
    <cellStyle name="Comma 3 2 2 4 3 6 2" xfId="36051"/>
    <cellStyle name="Comma 3 2 2 4 3 7" xfId="5230"/>
    <cellStyle name="Comma 3 2 2 4 4" xfId="5231"/>
    <cellStyle name="Comma 3 2 2 4 4 2" xfId="5232"/>
    <cellStyle name="Comma 3 2 2 4 4 2 2" xfId="5233"/>
    <cellStyle name="Comma 3 2 2 4 4 2 2 2" xfId="5234"/>
    <cellStyle name="Comma 3 2 2 4 4 2 3" xfId="5235"/>
    <cellStyle name="Comma 3 2 2 4 4 3" xfId="5236"/>
    <cellStyle name="Comma 3 2 2 4 4 3 2" xfId="5237"/>
    <cellStyle name="Comma 3 2 2 4 4 4" xfId="5238"/>
    <cellStyle name="Comma 3 2 2 4 5" xfId="5239"/>
    <cellStyle name="Comma 3 2 2 4 5 2" xfId="5240"/>
    <cellStyle name="Comma 3 2 2 4 5 2 2" xfId="5241"/>
    <cellStyle name="Comma 3 2 2 4 5 3" xfId="5242"/>
    <cellStyle name="Comma 3 2 2 4 6" xfId="5243"/>
    <cellStyle name="Comma 3 2 2 4 6 2" xfId="5244"/>
    <cellStyle name="Comma 3 2 2 4 6 2 2" xfId="5245"/>
    <cellStyle name="Comma 3 2 2 4 6 3" xfId="5246"/>
    <cellStyle name="Comma 3 2 2 4 7" xfId="5247"/>
    <cellStyle name="Comma 3 2 2 4 7 2" xfId="5248"/>
    <cellStyle name="Comma 3 2 2 4 8" xfId="5249"/>
    <cellStyle name="Comma 3 2 2 4 8 2" xfId="36052"/>
    <cellStyle name="Comma 3 2 2 4 9" xfId="5250"/>
    <cellStyle name="Comma 3 2 2 5" xfId="5251"/>
    <cellStyle name="Comma 3 2 2 5 2" xfId="5252"/>
    <cellStyle name="Comma 3 2 2 5 2 2" xfId="5253"/>
    <cellStyle name="Comma 3 2 2 5 2 2 2" xfId="5254"/>
    <cellStyle name="Comma 3 2 2 5 2 2 2 2" xfId="5255"/>
    <cellStyle name="Comma 3 2 2 5 2 2 2 3" xfId="5256"/>
    <cellStyle name="Comma 3 2 2 5 2 2 3" xfId="5257"/>
    <cellStyle name="Comma 3 2 2 5 2 2 3 2" xfId="5258"/>
    <cellStyle name="Comma 3 2 2 5 2 2 4" xfId="5259"/>
    <cellStyle name="Comma 3 2 2 5 2 3" xfId="5260"/>
    <cellStyle name="Comma 3 2 2 5 2 3 2" xfId="5261"/>
    <cellStyle name="Comma 3 2 2 5 2 3 2 2" xfId="5262"/>
    <cellStyle name="Comma 3 2 2 5 2 3 3" xfId="5263"/>
    <cellStyle name="Comma 3 2 2 5 2 4" xfId="5264"/>
    <cellStyle name="Comma 3 2 2 5 2 4 2" xfId="5265"/>
    <cellStyle name="Comma 3 2 2 5 2 4 3" xfId="5266"/>
    <cellStyle name="Comma 3 2 2 5 2 5" xfId="5267"/>
    <cellStyle name="Comma 3 2 2 5 2 5 2" xfId="5268"/>
    <cellStyle name="Comma 3 2 2 5 2 6" xfId="5269"/>
    <cellStyle name="Comma 3 2 2 5 2 6 2" xfId="36053"/>
    <cellStyle name="Comma 3 2 2 5 2 7" xfId="5270"/>
    <cellStyle name="Comma 3 2 2 5 3" xfId="5271"/>
    <cellStyle name="Comma 3 2 2 5 3 2" xfId="5272"/>
    <cellStyle name="Comma 3 2 2 5 3 2 2" xfId="5273"/>
    <cellStyle name="Comma 3 2 2 5 3 2 2 2" xfId="5274"/>
    <cellStyle name="Comma 3 2 2 5 3 2 3" xfId="5275"/>
    <cellStyle name="Comma 3 2 2 5 3 3" xfId="5276"/>
    <cellStyle name="Comma 3 2 2 5 3 3 2" xfId="5277"/>
    <cellStyle name="Comma 3 2 2 5 3 4" xfId="5278"/>
    <cellStyle name="Comma 3 2 2 5 4" xfId="5279"/>
    <cellStyle name="Comma 3 2 2 5 4 2" xfId="5280"/>
    <cellStyle name="Comma 3 2 2 5 4 2 2" xfId="5281"/>
    <cellStyle name="Comma 3 2 2 5 4 3" xfId="5282"/>
    <cellStyle name="Comma 3 2 2 5 5" xfId="5283"/>
    <cellStyle name="Comma 3 2 2 5 5 2" xfId="5284"/>
    <cellStyle name="Comma 3 2 2 5 5 2 2" xfId="5285"/>
    <cellStyle name="Comma 3 2 2 5 5 3" xfId="5286"/>
    <cellStyle name="Comma 3 2 2 5 6" xfId="5287"/>
    <cellStyle name="Comma 3 2 2 5 6 2" xfId="5288"/>
    <cellStyle name="Comma 3 2 2 5 7" xfId="5289"/>
    <cellStyle name="Comma 3 2 2 5 7 2" xfId="36054"/>
    <cellStyle name="Comma 3 2 2 5 8" xfId="5290"/>
    <cellStyle name="Comma 3 2 2 6" xfId="5291"/>
    <cellStyle name="Comma 3 2 2 6 2" xfId="5292"/>
    <cellStyle name="Comma 3 2 2 6 2 2" xfId="5293"/>
    <cellStyle name="Comma 3 2 2 6 2 2 2" xfId="5294"/>
    <cellStyle name="Comma 3 2 2 6 2 2 2 2" xfId="5295"/>
    <cellStyle name="Comma 3 2 2 6 2 2 2 3" xfId="5296"/>
    <cellStyle name="Comma 3 2 2 6 2 2 3" xfId="5297"/>
    <cellStyle name="Comma 3 2 2 6 2 2 3 2" xfId="5298"/>
    <cellStyle name="Comma 3 2 2 6 2 2 4" xfId="5299"/>
    <cellStyle name="Comma 3 2 2 6 2 3" xfId="5300"/>
    <cellStyle name="Comma 3 2 2 6 2 3 2" xfId="5301"/>
    <cellStyle name="Comma 3 2 2 6 2 3 2 2" xfId="5302"/>
    <cellStyle name="Comma 3 2 2 6 2 3 3" xfId="5303"/>
    <cellStyle name="Comma 3 2 2 6 2 4" xfId="5304"/>
    <cellStyle name="Comma 3 2 2 6 2 4 2" xfId="5305"/>
    <cellStyle name="Comma 3 2 2 6 2 4 3" xfId="5306"/>
    <cellStyle name="Comma 3 2 2 6 2 5" xfId="5307"/>
    <cellStyle name="Comma 3 2 2 6 2 5 2" xfId="5308"/>
    <cellStyle name="Comma 3 2 2 6 2 6" xfId="5309"/>
    <cellStyle name="Comma 3 2 2 6 2 6 2" xfId="36055"/>
    <cellStyle name="Comma 3 2 2 6 2 7" xfId="5310"/>
    <cellStyle name="Comma 3 2 2 6 3" xfId="5311"/>
    <cellStyle name="Comma 3 2 2 6 3 2" xfId="5312"/>
    <cellStyle name="Comma 3 2 2 6 3 2 2" xfId="5313"/>
    <cellStyle name="Comma 3 2 2 6 3 2 2 2" xfId="5314"/>
    <cellStyle name="Comma 3 2 2 6 3 2 3" xfId="5315"/>
    <cellStyle name="Comma 3 2 2 6 3 3" xfId="5316"/>
    <cellStyle name="Comma 3 2 2 6 3 3 2" xfId="5317"/>
    <cellStyle name="Comma 3 2 2 6 3 4" xfId="5318"/>
    <cellStyle name="Comma 3 2 2 6 4" xfId="5319"/>
    <cellStyle name="Comma 3 2 2 6 4 2" xfId="5320"/>
    <cellStyle name="Comma 3 2 2 6 4 2 2" xfId="5321"/>
    <cellStyle name="Comma 3 2 2 6 4 3" xfId="5322"/>
    <cellStyle name="Comma 3 2 2 6 5" xfId="5323"/>
    <cellStyle name="Comma 3 2 2 6 5 2" xfId="5324"/>
    <cellStyle name="Comma 3 2 2 6 5 2 2" xfId="5325"/>
    <cellStyle name="Comma 3 2 2 6 5 3" xfId="5326"/>
    <cellStyle name="Comma 3 2 2 6 6" xfId="5327"/>
    <cellStyle name="Comma 3 2 2 6 6 2" xfId="5328"/>
    <cellStyle name="Comma 3 2 2 6 7" xfId="5329"/>
    <cellStyle name="Comma 3 2 2 6 7 2" xfId="36056"/>
    <cellStyle name="Comma 3 2 2 6 8" xfId="5330"/>
    <cellStyle name="Comma 3 2 2 7" xfId="5331"/>
    <cellStyle name="Comma 3 2 2 7 2" xfId="5332"/>
    <cellStyle name="Comma 3 2 2 7 2 2" xfId="5333"/>
    <cellStyle name="Comma 3 2 2 7 2 2 2" xfId="5334"/>
    <cellStyle name="Comma 3 2 2 7 2 2 2 2" xfId="5335"/>
    <cellStyle name="Comma 3 2 2 7 2 2 2 3" xfId="5336"/>
    <cellStyle name="Comma 3 2 2 7 2 2 3" xfId="5337"/>
    <cellStyle name="Comma 3 2 2 7 2 2 3 2" xfId="5338"/>
    <cellStyle name="Comma 3 2 2 7 2 2 4" xfId="5339"/>
    <cellStyle name="Comma 3 2 2 7 2 3" xfId="5340"/>
    <cellStyle name="Comma 3 2 2 7 2 3 2" xfId="5341"/>
    <cellStyle name="Comma 3 2 2 7 2 3 2 2" xfId="5342"/>
    <cellStyle name="Comma 3 2 2 7 2 3 3" xfId="5343"/>
    <cellStyle name="Comma 3 2 2 7 2 4" xfId="5344"/>
    <cellStyle name="Comma 3 2 2 7 2 4 2" xfId="5345"/>
    <cellStyle name="Comma 3 2 2 7 2 4 3" xfId="5346"/>
    <cellStyle name="Comma 3 2 2 7 2 5" xfId="5347"/>
    <cellStyle name="Comma 3 2 2 7 2 5 2" xfId="5348"/>
    <cellStyle name="Comma 3 2 2 7 2 6" xfId="5349"/>
    <cellStyle name="Comma 3 2 2 7 2 6 2" xfId="36057"/>
    <cellStyle name="Comma 3 2 2 7 2 7" xfId="5350"/>
    <cellStyle name="Comma 3 2 2 7 3" xfId="5351"/>
    <cellStyle name="Comma 3 2 2 7 3 2" xfId="5352"/>
    <cellStyle name="Comma 3 2 2 7 3 2 2" xfId="5353"/>
    <cellStyle name="Comma 3 2 2 7 3 2 2 2" xfId="5354"/>
    <cellStyle name="Comma 3 2 2 7 3 2 3" xfId="5355"/>
    <cellStyle name="Comma 3 2 2 7 3 3" xfId="5356"/>
    <cellStyle name="Comma 3 2 2 7 3 3 2" xfId="5357"/>
    <cellStyle name="Comma 3 2 2 7 3 4" xfId="5358"/>
    <cellStyle name="Comma 3 2 2 7 4" xfId="5359"/>
    <cellStyle name="Comma 3 2 2 7 4 2" xfId="5360"/>
    <cellStyle name="Comma 3 2 2 7 4 2 2" xfId="5361"/>
    <cellStyle name="Comma 3 2 2 7 4 3" xfId="5362"/>
    <cellStyle name="Comma 3 2 2 7 5" xfId="5363"/>
    <cellStyle name="Comma 3 2 2 7 5 2" xfId="5364"/>
    <cellStyle name="Comma 3 2 2 7 5 2 2" xfId="5365"/>
    <cellStyle name="Comma 3 2 2 7 5 3" xfId="5366"/>
    <cellStyle name="Comma 3 2 2 7 6" xfId="5367"/>
    <cellStyle name="Comma 3 2 2 7 6 2" xfId="5368"/>
    <cellStyle name="Comma 3 2 2 7 7" xfId="5369"/>
    <cellStyle name="Comma 3 2 2 7 7 2" xfId="36058"/>
    <cellStyle name="Comma 3 2 2 7 8" xfId="5370"/>
    <cellStyle name="Comma 3 2 2 8" xfId="5371"/>
    <cellStyle name="Comma 3 2 2 8 2" xfId="5372"/>
    <cellStyle name="Comma 3 2 2 8 2 2" xfId="5373"/>
    <cellStyle name="Comma 3 2 2 8 2 2 2" xfId="5374"/>
    <cellStyle name="Comma 3 2 2 8 2 2 3" xfId="5375"/>
    <cellStyle name="Comma 3 2 2 8 2 3" xfId="5376"/>
    <cellStyle name="Comma 3 2 2 8 2 3 2" xfId="5377"/>
    <cellStyle name="Comma 3 2 2 8 2 4" xfId="5378"/>
    <cellStyle name="Comma 3 2 2 8 3" xfId="5379"/>
    <cellStyle name="Comma 3 2 2 8 3 2" xfId="5380"/>
    <cellStyle name="Comma 3 2 2 8 3 2 2" xfId="5381"/>
    <cellStyle name="Comma 3 2 2 8 3 3" xfId="5382"/>
    <cellStyle name="Comma 3 2 2 8 4" xfId="5383"/>
    <cellStyle name="Comma 3 2 2 8 4 2" xfId="5384"/>
    <cellStyle name="Comma 3 2 2 8 4 3" xfId="5385"/>
    <cellStyle name="Comma 3 2 2 8 5" xfId="5386"/>
    <cellStyle name="Comma 3 2 2 8 5 2" xfId="5387"/>
    <cellStyle name="Comma 3 2 2 8 6" xfId="5388"/>
    <cellStyle name="Comma 3 2 2 8 6 2" xfId="36059"/>
    <cellStyle name="Comma 3 2 2 8 7" xfId="5389"/>
    <cellStyle name="Comma 3 2 2 9" xfId="5390"/>
    <cellStyle name="Comma 3 2 2 9 2" xfId="5391"/>
    <cellStyle name="Comma 3 2 2 9 2 2" xfId="5392"/>
    <cellStyle name="Comma 3 2 2 9 2 2 2" xfId="5393"/>
    <cellStyle name="Comma 3 2 2 9 2 3" xfId="5394"/>
    <cellStyle name="Comma 3 2 2 9 3" xfId="5395"/>
    <cellStyle name="Comma 3 2 2 9 3 2" xfId="5396"/>
    <cellStyle name="Comma 3 2 2 9 4" xfId="5397"/>
    <cellStyle name="Comma 3 2 3" xfId="5398"/>
    <cellStyle name="Comma 3 2 3 10" xfId="5399"/>
    <cellStyle name="Comma 3 2 3 10 2" xfId="5400"/>
    <cellStyle name="Comma 3 2 3 10 2 2" xfId="5401"/>
    <cellStyle name="Comma 3 2 3 10 3" xfId="5402"/>
    <cellStyle name="Comma 3 2 3 11" xfId="5403"/>
    <cellStyle name="Comma 3 2 3 11 2" xfId="5404"/>
    <cellStyle name="Comma 3 2 3 11 2 2" xfId="5405"/>
    <cellStyle name="Comma 3 2 3 11 3" xfId="5406"/>
    <cellStyle name="Comma 3 2 3 12" xfId="5407"/>
    <cellStyle name="Comma 3 2 3 12 2" xfId="5408"/>
    <cellStyle name="Comma 3 2 3 13" xfId="5409"/>
    <cellStyle name="Comma 3 2 3 13 2" xfId="36060"/>
    <cellStyle name="Comma 3 2 3 14" xfId="5410"/>
    <cellStyle name="Comma 3 2 3 2" xfId="5411"/>
    <cellStyle name="Comma 3 2 3 2 10" xfId="5412"/>
    <cellStyle name="Comma 3 2 3 2 2" xfId="5413"/>
    <cellStyle name="Comma 3 2 3 2 2 2" xfId="5414"/>
    <cellStyle name="Comma 3 2 3 2 2 2 2" xfId="5415"/>
    <cellStyle name="Comma 3 2 3 2 2 2 2 2" xfId="5416"/>
    <cellStyle name="Comma 3 2 3 2 2 2 2 2 2" xfId="5417"/>
    <cellStyle name="Comma 3 2 3 2 2 2 2 2 2 2" xfId="5418"/>
    <cellStyle name="Comma 3 2 3 2 2 2 2 2 2 3" xfId="5419"/>
    <cellStyle name="Comma 3 2 3 2 2 2 2 2 3" xfId="5420"/>
    <cellStyle name="Comma 3 2 3 2 2 2 2 2 3 2" xfId="5421"/>
    <cellStyle name="Comma 3 2 3 2 2 2 2 2 4" xfId="5422"/>
    <cellStyle name="Comma 3 2 3 2 2 2 2 3" xfId="5423"/>
    <cellStyle name="Comma 3 2 3 2 2 2 2 3 2" xfId="5424"/>
    <cellStyle name="Comma 3 2 3 2 2 2 2 3 2 2" xfId="5425"/>
    <cellStyle name="Comma 3 2 3 2 2 2 2 3 3" xfId="5426"/>
    <cellStyle name="Comma 3 2 3 2 2 2 2 4" xfId="5427"/>
    <cellStyle name="Comma 3 2 3 2 2 2 2 4 2" xfId="5428"/>
    <cellStyle name="Comma 3 2 3 2 2 2 2 4 3" xfId="5429"/>
    <cellStyle name="Comma 3 2 3 2 2 2 2 5" xfId="5430"/>
    <cellStyle name="Comma 3 2 3 2 2 2 2 5 2" xfId="5431"/>
    <cellStyle name="Comma 3 2 3 2 2 2 2 6" xfId="5432"/>
    <cellStyle name="Comma 3 2 3 2 2 2 2 6 2" xfId="36061"/>
    <cellStyle name="Comma 3 2 3 2 2 2 2 7" xfId="5433"/>
    <cellStyle name="Comma 3 2 3 2 2 2 3" xfId="5434"/>
    <cellStyle name="Comma 3 2 3 2 2 2 3 2" xfId="5435"/>
    <cellStyle name="Comma 3 2 3 2 2 2 3 2 2" xfId="5436"/>
    <cellStyle name="Comma 3 2 3 2 2 2 3 2 2 2" xfId="5437"/>
    <cellStyle name="Comma 3 2 3 2 2 2 3 2 3" xfId="5438"/>
    <cellStyle name="Comma 3 2 3 2 2 2 3 3" xfId="5439"/>
    <cellStyle name="Comma 3 2 3 2 2 2 3 3 2" xfId="5440"/>
    <cellStyle name="Comma 3 2 3 2 2 2 3 4" xfId="5441"/>
    <cellStyle name="Comma 3 2 3 2 2 2 4" xfId="5442"/>
    <cellStyle name="Comma 3 2 3 2 2 2 4 2" xfId="5443"/>
    <cellStyle name="Comma 3 2 3 2 2 2 4 2 2" xfId="5444"/>
    <cellStyle name="Comma 3 2 3 2 2 2 4 3" xfId="5445"/>
    <cellStyle name="Comma 3 2 3 2 2 2 5" xfId="5446"/>
    <cellStyle name="Comma 3 2 3 2 2 2 5 2" xfId="5447"/>
    <cellStyle name="Comma 3 2 3 2 2 2 5 2 2" xfId="5448"/>
    <cellStyle name="Comma 3 2 3 2 2 2 5 3" xfId="5449"/>
    <cellStyle name="Comma 3 2 3 2 2 2 6" xfId="5450"/>
    <cellStyle name="Comma 3 2 3 2 2 2 6 2" xfId="5451"/>
    <cellStyle name="Comma 3 2 3 2 2 2 7" xfId="5452"/>
    <cellStyle name="Comma 3 2 3 2 2 2 7 2" xfId="36062"/>
    <cellStyle name="Comma 3 2 3 2 2 2 8" xfId="5453"/>
    <cellStyle name="Comma 3 2 3 2 2 3" xfId="5454"/>
    <cellStyle name="Comma 3 2 3 2 2 3 2" xfId="5455"/>
    <cellStyle name="Comma 3 2 3 2 2 3 2 2" xfId="5456"/>
    <cellStyle name="Comma 3 2 3 2 2 3 2 2 2" xfId="5457"/>
    <cellStyle name="Comma 3 2 3 2 2 3 2 2 3" xfId="5458"/>
    <cellStyle name="Comma 3 2 3 2 2 3 2 3" xfId="5459"/>
    <cellStyle name="Comma 3 2 3 2 2 3 2 3 2" xfId="5460"/>
    <cellStyle name="Comma 3 2 3 2 2 3 2 4" xfId="5461"/>
    <cellStyle name="Comma 3 2 3 2 2 3 3" xfId="5462"/>
    <cellStyle name="Comma 3 2 3 2 2 3 3 2" xfId="5463"/>
    <cellStyle name="Comma 3 2 3 2 2 3 3 2 2" xfId="5464"/>
    <cellStyle name="Comma 3 2 3 2 2 3 3 3" xfId="5465"/>
    <cellStyle name="Comma 3 2 3 2 2 3 4" xfId="5466"/>
    <cellStyle name="Comma 3 2 3 2 2 3 4 2" xfId="5467"/>
    <cellStyle name="Comma 3 2 3 2 2 3 4 3" xfId="5468"/>
    <cellStyle name="Comma 3 2 3 2 2 3 5" xfId="5469"/>
    <cellStyle name="Comma 3 2 3 2 2 3 5 2" xfId="5470"/>
    <cellStyle name="Comma 3 2 3 2 2 3 6" xfId="5471"/>
    <cellStyle name="Comma 3 2 3 2 2 3 6 2" xfId="36063"/>
    <cellStyle name="Comma 3 2 3 2 2 3 7" xfId="5472"/>
    <cellStyle name="Comma 3 2 3 2 2 4" xfId="5473"/>
    <cellStyle name="Comma 3 2 3 2 2 4 2" xfId="5474"/>
    <cellStyle name="Comma 3 2 3 2 2 4 2 2" xfId="5475"/>
    <cellStyle name="Comma 3 2 3 2 2 4 2 2 2" xfId="5476"/>
    <cellStyle name="Comma 3 2 3 2 2 4 2 3" xfId="5477"/>
    <cellStyle name="Comma 3 2 3 2 2 4 3" xfId="5478"/>
    <cellStyle name="Comma 3 2 3 2 2 4 3 2" xfId="5479"/>
    <cellStyle name="Comma 3 2 3 2 2 4 4" xfId="5480"/>
    <cellStyle name="Comma 3 2 3 2 2 5" xfId="5481"/>
    <cellStyle name="Comma 3 2 3 2 2 5 2" xfId="5482"/>
    <cellStyle name="Comma 3 2 3 2 2 5 2 2" xfId="5483"/>
    <cellStyle name="Comma 3 2 3 2 2 5 3" xfId="5484"/>
    <cellStyle name="Comma 3 2 3 2 2 6" xfId="5485"/>
    <cellStyle name="Comma 3 2 3 2 2 6 2" xfId="5486"/>
    <cellStyle name="Comma 3 2 3 2 2 6 2 2" xfId="5487"/>
    <cellStyle name="Comma 3 2 3 2 2 6 3" xfId="5488"/>
    <cellStyle name="Comma 3 2 3 2 2 7" xfId="5489"/>
    <cellStyle name="Comma 3 2 3 2 2 7 2" xfId="5490"/>
    <cellStyle name="Comma 3 2 3 2 2 8" xfId="5491"/>
    <cellStyle name="Comma 3 2 3 2 2 8 2" xfId="36064"/>
    <cellStyle name="Comma 3 2 3 2 2 9" xfId="5492"/>
    <cellStyle name="Comma 3 2 3 2 3" xfId="5493"/>
    <cellStyle name="Comma 3 2 3 2 3 2" xfId="5494"/>
    <cellStyle name="Comma 3 2 3 2 3 2 2" xfId="5495"/>
    <cellStyle name="Comma 3 2 3 2 3 2 2 2" xfId="5496"/>
    <cellStyle name="Comma 3 2 3 2 3 2 2 2 2" xfId="5497"/>
    <cellStyle name="Comma 3 2 3 2 3 2 2 2 3" xfId="5498"/>
    <cellStyle name="Comma 3 2 3 2 3 2 2 3" xfId="5499"/>
    <cellStyle name="Comma 3 2 3 2 3 2 2 3 2" xfId="5500"/>
    <cellStyle name="Comma 3 2 3 2 3 2 2 4" xfId="5501"/>
    <cellStyle name="Comma 3 2 3 2 3 2 3" xfId="5502"/>
    <cellStyle name="Comma 3 2 3 2 3 2 3 2" xfId="5503"/>
    <cellStyle name="Comma 3 2 3 2 3 2 3 2 2" xfId="5504"/>
    <cellStyle name="Comma 3 2 3 2 3 2 3 3" xfId="5505"/>
    <cellStyle name="Comma 3 2 3 2 3 2 4" xfId="5506"/>
    <cellStyle name="Comma 3 2 3 2 3 2 4 2" xfId="5507"/>
    <cellStyle name="Comma 3 2 3 2 3 2 4 3" xfId="5508"/>
    <cellStyle name="Comma 3 2 3 2 3 2 5" xfId="5509"/>
    <cellStyle name="Comma 3 2 3 2 3 2 5 2" xfId="5510"/>
    <cellStyle name="Comma 3 2 3 2 3 2 6" xfId="5511"/>
    <cellStyle name="Comma 3 2 3 2 3 2 6 2" xfId="36065"/>
    <cellStyle name="Comma 3 2 3 2 3 2 7" xfId="5512"/>
    <cellStyle name="Comma 3 2 3 2 3 3" xfId="5513"/>
    <cellStyle name="Comma 3 2 3 2 3 3 2" xfId="5514"/>
    <cellStyle name="Comma 3 2 3 2 3 3 2 2" xfId="5515"/>
    <cellStyle name="Comma 3 2 3 2 3 3 2 2 2" xfId="5516"/>
    <cellStyle name="Comma 3 2 3 2 3 3 2 3" xfId="5517"/>
    <cellStyle name="Comma 3 2 3 2 3 3 3" xfId="5518"/>
    <cellStyle name="Comma 3 2 3 2 3 3 3 2" xfId="5519"/>
    <cellStyle name="Comma 3 2 3 2 3 3 4" xfId="5520"/>
    <cellStyle name="Comma 3 2 3 2 3 4" xfId="5521"/>
    <cellStyle name="Comma 3 2 3 2 3 4 2" xfId="5522"/>
    <cellStyle name="Comma 3 2 3 2 3 4 2 2" xfId="5523"/>
    <cellStyle name="Comma 3 2 3 2 3 4 3" xfId="5524"/>
    <cellStyle name="Comma 3 2 3 2 3 5" xfId="5525"/>
    <cellStyle name="Comma 3 2 3 2 3 5 2" xfId="5526"/>
    <cellStyle name="Comma 3 2 3 2 3 5 2 2" xfId="5527"/>
    <cellStyle name="Comma 3 2 3 2 3 5 3" xfId="5528"/>
    <cellStyle name="Comma 3 2 3 2 3 6" xfId="5529"/>
    <cellStyle name="Comma 3 2 3 2 3 6 2" xfId="5530"/>
    <cellStyle name="Comma 3 2 3 2 3 7" xfId="5531"/>
    <cellStyle name="Comma 3 2 3 2 3 7 2" xfId="36066"/>
    <cellStyle name="Comma 3 2 3 2 3 8" xfId="5532"/>
    <cellStyle name="Comma 3 2 3 2 4" xfId="5533"/>
    <cellStyle name="Comma 3 2 3 2 4 2" xfId="5534"/>
    <cellStyle name="Comma 3 2 3 2 4 2 2" xfId="5535"/>
    <cellStyle name="Comma 3 2 3 2 4 2 2 2" xfId="5536"/>
    <cellStyle name="Comma 3 2 3 2 4 2 2 3" xfId="5537"/>
    <cellStyle name="Comma 3 2 3 2 4 2 3" xfId="5538"/>
    <cellStyle name="Comma 3 2 3 2 4 2 3 2" xfId="5539"/>
    <cellStyle name="Comma 3 2 3 2 4 2 4" xfId="5540"/>
    <cellStyle name="Comma 3 2 3 2 4 3" xfId="5541"/>
    <cellStyle name="Comma 3 2 3 2 4 3 2" xfId="5542"/>
    <cellStyle name="Comma 3 2 3 2 4 3 2 2" xfId="5543"/>
    <cellStyle name="Comma 3 2 3 2 4 3 3" xfId="5544"/>
    <cellStyle name="Comma 3 2 3 2 4 4" xfId="5545"/>
    <cellStyle name="Comma 3 2 3 2 4 4 2" xfId="5546"/>
    <cellStyle name="Comma 3 2 3 2 4 4 3" xfId="5547"/>
    <cellStyle name="Comma 3 2 3 2 4 5" xfId="5548"/>
    <cellStyle name="Comma 3 2 3 2 4 5 2" xfId="5549"/>
    <cellStyle name="Comma 3 2 3 2 4 6" xfId="5550"/>
    <cellStyle name="Comma 3 2 3 2 4 6 2" xfId="36067"/>
    <cellStyle name="Comma 3 2 3 2 4 7" xfId="5551"/>
    <cellStyle name="Comma 3 2 3 2 5" xfId="5552"/>
    <cellStyle name="Comma 3 2 3 2 5 2" xfId="5553"/>
    <cellStyle name="Comma 3 2 3 2 5 2 2" xfId="5554"/>
    <cellStyle name="Comma 3 2 3 2 5 2 2 2" xfId="5555"/>
    <cellStyle name="Comma 3 2 3 2 5 2 3" xfId="5556"/>
    <cellStyle name="Comma 3 2 3 2 5 3" xfId="5557"/>
    <cellStyle name="Comma 3 2 3 2 5 3 2" xfId="5558"/>
    <cellStyle name="Comma 3 2 3 2 5 4" xfId="5559"/>
    <cellStyle name="Comma 3 2 3 2 6" xfId="5560"/>
    <cellStyle name="Comma 3 2 3 2 6 2" xfId="5561"/>
    <cellStyle name="Comma 3 2 3 2 6 2 2" xfId="5562"/>
    <cellStyle name="Comma 3 2 3 2 6 3" xfId="5563"/>
    <cellStyle name="Comma 3 2 3 2 7" xfId="5564"/>
    <cellStyle name="Comma 3 2 3 2 7 2" xfId="5565"/>
    <cellStyle name="Comma 3 2 3 2 7 2 2" xfId="5566"/>
    <cellStyle name="Comma 3 2 3 2 7 3" xfId="5567"/>
    <cellStyle name="Comma 3 2 3 2 8" xfId="5568"/>
    <cellStyle name="Comma 3 2 3 2 8 2" xfId="5569"/>
    <cellStyle name="Comma 3 2 3 2 9" xfId="5570"/>
    <cellStyle name="Comma 3 2 3 2 9 2" xfId="36068"/>
    <cellStyle name="Comma 3 2 3 3" xfId="5571"/>
    <cellStyle name="Comma 3 2 3 3 2" xfId="5572"/>
    <cellStyle name="Comma 3 2 3 3 2 2" xfId="5573"/>
    <cellStyle name="Comma 3 2 3 3 2 2 2" xfId="5574"/>
    <cellStyle name="Comma 3 2 3 3 2 2 2 2" xfId="5575"/>
    <cellStyle name="Comma 3 2 3 3 2 2 2 2 2" xfId="5576"/>
    <cellStyle name="Comma 3 2 3 3 2 2 2 2 3" xfId="5577"/>
    <cellStyle name="Comma 3 2 3 3 2 2 2 3" xfId="5578"/>
    <cellStyle name="Comma 3 2 3 3 2 2 2 3 2" xfId="5579"/>
    <cellStyle name="Comma 3 2 3 3 2 2 2 4" xfId="5580"/>
    <cellStyle name="Comma 3 2 3 3 2 2 3" xfId="5581"/>
    <cellStyle name="Comma 3 2 3 3 2 2 3 2" xfId="5582"/>
    <cellStyle name="Comma 3 2 3 3 2 2 3 2 2" xfId="5583"/>
    <cellStyle name="Comma 3 2 3 3 2 2 3 3" xfId="5584"/>
    <cellStyle name="Comma 3 2 3 3 2 2 4" xfId="5585"/>
    <cellStyle name="Comma 3 2 3 3 2 2 4 2" xfId="5586"/>
    <cellStyle name="Comma 3 2 3 3 2 2 4 3" xfId="5587"/>
    <cellStyle name="Comma 3 2 3 3 2 2 5" xfId="5588"/>
    <cellStyle name="Comma 3 2 3 3 2 2 5 2" xfId="5589"/>
    <cellStyle name="Comma 3 2 3 3 2 2 6" xfId="5590"/>
    <cellStyle name="Comma 3 2 3 3 2 2 6 2" xfId="36069"/>
    <cellStyle name="Comma 3 2 3 3 2 2 7" xfId="5591"/>
    <cellStyle name="Comma 3 2 3 3 2 3" xfId="5592"/>
    <cellStyle name="Comma 3 2 3 3 2 3 2" xfId="5593"/>
    <cellStyle name="Comma 3 2 3 3 2 3 2 2" xfId="5594"/>
    <cellStyle name="Comma 3 2 3 3 2 3 2 2 2" xfId="5595"/>
    <cellStyle name="Comma 3 2 3 3 2 3 2 3" xfId="5596"/>
    <cellStyle name="Comma 3 2 3 3 2 3 3" xfId="5597"/>
    <cellStyle name="Comma 3 2 3 3 2 3 3 2" xfId="5598"/>
    <cellStyle name="Comma 3 2 3 3 2 3 4" xfId="5599"/>
    <cellStyle name="Comma 3 2 3 3 2 4" xfId="5600"/>
    <cellStyle name="Comma 3 2 3 3 2 4 2" xfId="5601"/>
    <cellStyle name="Comma 3 2 3 3 2 4 2 2" xfId="5602"/>
    <cellStyle name="Comma 3 2 3 3 2 4 3" xfId="5603"/>
    <cellStyle name="Comma 3 2 3 3 2 5" xfId="5604"/>
    <cellStyle name="Comma 3 2 3 3 2 5 2" xfId="5605"/>
    <cellStyle name="Comma 3 2 3 3 2 5 2 2" xfId="5606"/>
    <cellStyle name="Comma 3 2 3 3 2 5 3" xfId="5607"/>
    <cellStyle name="Comma 3 2 3 3 2 6" xfId="5608"/>
    <cellStyle name="Comma 3 2 3 3 2 6 2" xfId="5609"/>
    <cellStyle name="Comma 3 2 3 3 2 7" xfId="5610"/>
    <cellStyle name="Comma 3 2 3 3 2 7 2" xfId="36070"/>
    <cellStyle name="Comma 3 2 3 3 2 8" xfId="5611"/>
    <cellStyle name="Comma 3 2 3 3 3" xfId="5612"/>
    <cellStyle name="Comma 3 2 3 3 3 2" xfId="5613"/>
    <cellStyle name="Comma 3 2 3 3 3 2 2" xfId="5614"/>
    <cellStyle name="Comma 3 2 3 3 3 2 2 2" xfId="5615"/>
    <cellStyle name="Comma 3 2 3 3 3 2 2 3" xfId="5616"/>
    <cellStyle name="Comma 3 2 3 3 3 2 3" xfId="5617"/>
    <cellStyle name="Comma 3 2 3 3 3 2 3 2" xfId="5618"/>
    <cellStyle name="Comma 3 2 3 3 3 2 4" xfId="5619"/>
    <cellStyle name="Comma 3 2 3 3 3 3" xfId="5620"/>
    <cellStyle name="Comma 3 2 3 3 3 3 2" xfId="5621"/>
    <cellStyle name="Comma 3 2 3 3 3 3 2 2" xfId="5622"/>
    <cellStyle name="Comma 3 2 3 3 3 3 3" xfId="5623"/>
    <cellStyle name="Comma 3 2 3 3 3 4" xfId="5624"/>
    <cellStyle name="Comma 3 2 3 3 3 4 2" xfId="5625"/>
    <cellStyle name="Comma 3 2 3 3 3 4 3" xfId="5626"/>
    <cellStyle name="Comma 3 2 3 3 3 5" xfId="5627"/>
    <cellStyle name="Comma 3 2 3 3 3 5 2" xfId="5628"/>
    <cellStyle name="Comma 3 2 3 3 3 6" xfId="5629"/>
    <cellStyle name="Comma 3 2 3 3 3 6 2" xfId="36071"/>
    <cellStyle name="Comma 3 2 3 3 3 7" xfId="5630"/>
    <cellStyle name="Comma 3 2 3 3 4" xfId="5631"/>
    <cellStyle name="Comma 3 2 3 3 4 2" xfId="5632"/>
    <cellStyle name="Comma 3 2 3 3 4 2 2" xfId="5633"/>
    <cellStyle name="Comma 3 2 3 3 4 2 2 2" xfId="5634"/>
    <cellStyle name="Comma 3 2 3 3 4 2 3" xfId="5635"/>
    <cellStyle name="Comma 3 2 3 3 4 3" xfId="5636"/>
    <cellStyle name="Comma 3 2 3 3 4 3 2" xfId="5637"/>
    <cellStyle name="Comma 3 2 3 3 4 4" xfId="5638"/>
    <cellStyle name="Comma 3 2 3 3 5" xfId="5639"/>
    <cellStyle name="Comma 3 2 3 3 5 2" xfId="5640"/>
    <cellStyle name="Comma 3 2 3 3 5 2 2" xfId="5641"/>
    <cellStyle name="Comma 3 2 3 3 5 3" xfId="5642"/>
    <cellStyle name="Comma 3 2 3 3 6" xfId="5643"/>
    <cellStyle name="Comma 3 2 3 3 6 2" xfId="5644"/>
    <cellStyle name="Comma 3 2 3 3 6 2 2" xfId="5645"/>
    <cellStyle name="Comma 3 2 3 3 6 3" xfId="5646"/>
    <cellStyle name="Comma 3 2 3 3 7" xfId="5647"/>
    <cellStyle name="Comma 3 2 3 3 7 2" xfId="5648"/>
    <cellStyle name="Comma 3 2 3 3 8" xfId="5649"/>
    <cellStyle name="Comma 3 2 3 3 8 2" xfId="36072"/>
    <cellStyle name="Comma 3 2 3 3 9" xfId="5650"/>
    <cellStyle name="Comma 3 2 3 4" xfId="5651"/>
    <cellStyle name="Comma 3 2 3 4 2" xfId="5652"/>
    <cellStyle name="Comma 3 2 3 4 2 2" xfId="5653"/>
    <cellStyle name="Comma 3 2 3 4 2 2 2" xfId="5654"/>
    <cellStyle name="Comma 3 2 3 4 2 2 2 2" xfId="5655"/>
    <cellStyle name="Comma 3 2 3 4 2 2 2 2 2" xfId="5656"/>
    <cellStyle name="Comma 3 2 3 4 2 2 2 2 3" xfId="5657"/>
    <cellStyle name="Comma 3 2 3 4 2 2 2 3" xfId="5658"/>
    <cellStyle name="Comma 3 2 3 4 2 2 2 3 2" xfId="5659"/>
    <cellStyle name="Comma 3 2 3 4 2 2 2 4" xfId="5660"/>
    <cellStyle name="Comma 3 2 3 4 2 2 3" xfId="5661"/>
    <cellStyle name="Comma 3 2 3 4 2 2 3 2" xfId="5662"/>
    <cellStyle name="Comma 3 2 3 4 2 2 3 2 2" xfId="5663"/>
    <cellStyle name="Comma 3 2 3 4 2 2 3 3" xfId="5664"/>
    <cellStyle name="Comma 3 2 3 4 2 2 4" xfId="5665"/>
    <cellStyle name="Comma 3 2 3 4 2 2 4 2" xfId="5666"/>
    <cellStyle name="Comma 3 2 3 4 2 2 4 3" xfId="5667"/>
    <cellStyle name="Comma 3 2 3 4 2 2 5" xfId="5668"/>
    <cellStyle name="Comma 3 2 3 4 2 2 5 2" xfId="5669"/>
    <cellStyle name="Comma 3 2 3 4 2 2 6" xfId="5670"/>
    <cellStyle name="Comma 3 2 3 4 2 2 6 2" xfId="36073"/>
    <cellStyle name="Comma 3 2 3 4 2 2 7" xfId="5671"/>
    <cellStyle name="Comma 3 2 3 4 2 3" xfId="5672"/>
    <cellStyle name="Comma 3 2 3 4 2 3 2" xfId="5673"/>
    <cellStyle name="Comma 3 2 3 4 2 3 2 2" xfId="5674"/>
    <cellStyle name="Comma 3 2 3 4 2 3 2 2 2" xfId="5675"/>
    <cellStyle name="Comma 3 2 3 4 2 3 2 3" xfId="5676"/>
    <cellStyle name="Comma 3 2 3 4 2 3 3" xfId="5677"/>
    <cellStyle name="Comma 3 2 3 4 2 3 3 2" xfId="5678"/>
    <cellStyle name="Comma 3 2 3 4 2 3 4" xfId="5679"/>
    <cellStyle name="Comma 3 2 3 4 2 4" xfId="5680"/>
    <cellStyle name="Comma 3 2 3 4 2 4 2" xfId="5681"/>
    <cellStyle name="Comma 3 2 3 4 2 4 2 2" xfId="5682"/>
    <cellStyle name="Comma 3 2 3 4 2 4 3" xfId="5683"/>
    <cellStyle name="Comma 3 2 3 4 2 5" xfId="5684"/>
    <cellStyle name="Comma 3 2 3 4 2 5 2" xfId="5685"/>
    <cellStyle name="Comma 3 2 3 4 2 5 2 2" xfId="5686"/>
    <cellStyle name="Comma 3 2 3 4 2 5 3" xfId="5687"/>
    <cellStyle name="Comma 3 2 3 4 2 6" xfId="5688"/>
    <cellStyle name="Comma 3 2 3 4 2 6 2" xfId="5689"/>
    <cellStyle name="Comma 3 2 3 4 2 7" xfId="5690"/>
    <cellStyle name="Comma 3 2 3 4 2 7 2" xfId="36074"/>
    <cellStyle name="Comma 3 2 3 4 2 8" xfId="5691"/>
    <cellStyle name="Comma 3 2 3 4 3" xfId="5692"/>
    <cellStyle name="Comma 3 2 3 4 3 2" xfId="5693"/>
    <cellStyle name="Comma 3 2 3 4 3 2 2" xfId="5694"/>
    <cellStyle name="Comma 3 2 3 4 3 2 2 2" xfId="5695"/>
    <cellStyle name="Comma 3 2 3 4 3 2 2 3" xfId="5696"/>
    <cellStyle name="Comma 3 2 3 4 3 2 3" xfId="5697"/>
    <cellStyle name="Comma 3 2 3 4 3 2 3 2" xfId="5698"/>
    <cellStyle name="Comma 3 2 3 4 3 2 4" xfId="5699"/>
    <cellStyle name="Comma 3 2 3 4 3 3" xfId="5700"/>
    <cellStyle name="Comma 3 2 3 4 3 3 2" xfId="5701"/>
    <cellStyle name="Comma 3 2 3 4 3 3 2 2" xfId="5702"/>
    <cellStyle name="Comma 3 2 3 4 3 3 3" xfId="5703"/>
    <cellStyle name="Comma 3 2 3 4 3 4" xfId="5704"/>
    <cellStyle name="Comma 3 2 3 4 3 4 2" xfId="5705"/>
    <cellStyle name="Comma 3 2 3 4 3 4 3" xfId="5706"/>
    <cellStyle name="Comma 3 2 3 4 3 5" xfId="5707"/>
    <cellStyle name="Comma 3 2 3 4 3 5 2" xfId="5708"/>
    <cellStyle name="Comma 3 2 3 4 3 6" xfId="5709"/>
    <cellStyle name="Comma 3 2 3 4 3 6 2" xfId="36075"/>
    <cellStyle name="Comma 3 2 3 4 3 7" xfId="5710"/>
    <cellStyle name="Comma 3 2 3 4 4" xfId="5711"/>
    <cellStyle name="Comma 3 2 3 4 4 2" xfId="5712"/>
    <cellStyle name="Comma 3 2 3 4 4 2 2" xfId="5713"/>
    <cellStyle name="Comma 3 2 3 4 4 2 2 2" xfId="5714"/>
    <cellStyle name="Comma 3 2 3 4 4 2 3" xfId="5715"/>
    <cellStyle name="Comma 3 2 3 4 4 3" xfId="5716"/>
    <cellStyle name="Comma 3 2 3 4 4 3 2" xfId="5717"/>
    <cellStyle name="Comma 3 2 3 4 4 4" xfId="5718"/>
    <cellStyle name="Comma 3 2 3 4 5" xfId="5719"/>
    <cellStyle name="Comma 3 2 3 4 5 2" xfId="5720"/>
    <cellStyle name="Comma 3 2 3 4 5 2 2" xfId="5721"/>
    <cellStyle name="Comma 3 2 3 4 5 3" xfId="5722"/>
    <cellStyle name="Comma 3 2 3 4 6" xfId="5723"/>
    <cellStyle name="Comma 3 2 3 4 6 2" xfId="5724"/>
    <cellStyle name="Comma 3 2 3 4 6 2 2" xfId="5725"/>
    <cellStyle name="Comma 3 2 3 4 6 3" xfId="5726"/>
    <cellStyle name="Comma 3 2 3 4 7" xfId="5727"/>
    <cellStyle name="Comma 3 2 3 4 7 2" xfId="5728"/>
    <cellStyle name="Comma 3 2 3 4 8" xfId="5729"/>
    <cellStyle name="Comma 3 2 3 4 8 2" xfId="36076"/>
    <cellStyle name="Comma 3 2 3 4 9" xfId="5730"/>
    <cellStyle name="Comma 3 2 3 5" xfId="5731"/>
    <cellStyle name="Comma 3 2 3 5 2" xfId="5732"/>
    <cellStyle name="Comma 3 2 3 5 2 2" xfId="5733"/>
    <cellStyle name="Comma 3 2 3 5 2 2 2" xfId="5734"/>
    <cellStyle name="Comma 3 2 3 5 2 2 2 2" xfId="5735"/>
    <cellStyle name="Comma 3 2 3 5 2 2 2 3" xfId="5736"/>
    <cellStyle name="Comma 3 2 3 5 2 2 3" xfId="5737"/>
    <cellStyle name="Comma 3 2 3 5 2 2 3 2" xfId="5738"/>
    <cellStyle name="Comma 3 2 3 5 2 2 4" xfId="5739"/>
    <cellStyle name="Comma 3 2 3 5 2 3" xfId="5740"/>
    <cellStyle name="Comma 3 2 3 5 2 3 2" xfId="5741"/>
    <cellStyle name="Comma 3 2 3 5 2 3 2 2" xfId="5742"/>
    <cellStyle name="Comma 3 2 3 5 2 3 3" xfId="5743"/>
    <cellStyle name="Comma 3 2 3 5 2 4" xfId="5744"/>
    <cellStyle name="Comma 3 2 3 5 2 4 2" xfId="5745"/>
    <cellStyle name="Comma 3 2 3 5 2 4 3" xfId="5746"/>
    <cellStyle name="Comma 3 2 3 5 2 5" xfId="5747"/>
    <cellStyle name="Comma 3 2 3 5 2 5 2" xfId="5748"/>
    <cellStyle name="Comma 3 2 3 5 2 6" xfId="5749"/>
    <cellStyle name="Comma 3 2 3 5 2 6 2" xfId="36077"/>
    <cellStyle name="Comma 3 2 3 5 2 7" xfId="5750"/>
    <cellStyle name="Comma 3 2 3 5 3" xfId="5751"/>
    <cellStyle name="Comma 3 2 3 5 3 2" xfId="5752"/>
    <cellStyle name="Comma 3 2 3 5 3 2 2" xfId="5753"/>
    <cellStyle name="Comma 3 2 3 5 3 2 2 2" xfId="5754"/>
    <cellStyle name="Comma 3 2 3 5 3 2 3" xfId="5755"/>
    <cellStyle name="Comma 3 2 3 5 3 3" xfId="5756"/>
    <cellStyle name="Comma 3 2 3 5 3 3 2" xfId="5757"/>
    <cellStyle name="Comma 3 2 3 5 3 4" xfId="5758"/>
    <cellStyle name="Comma 3 2 3 5 4" xfId="5759"/>
    <cellStyle name="Comma 3 2 3 5 4 2" xfId="5760"/>
    <cellStyle name="Comma 3 2 3 5 4 2 2" xfId="5761"/>
    <cellStyle name="Comma 3 2 3 5 4 3" xfId="5762"/>
    <cellStyle name="Comma 3 2 3 5 5" xfId="5763"/>
    <cellStyle name="Comma 3 2 3 5 5 2" xfId="5764"/>
    <cellStyle name="Comma 3 2 3 5 5 2 2" xfId="5765"/>
    <cellStyle name="Comma 3 2 3 5 5 3" xfId="5766"/>
    <cellStyle name="Comma 3 2 3 5 6" xfId="5767"/>
    <cellStyle name="Comma 3 2 3 5 6 2" xfId="5768"/>
    <cellStyle name="Comma 3 2 3 5 7" xfId="5769"/>
    <cellStyle name="Comma 3 2 3 5 7 2" xfId="36078"/>
    <cellStyle name="Comma 3 2 3 5 8" xfId="5770"/>
    <cellStyle name="Comma 3 2 3 6" xfId="5771"/>
    <cellStyle name="Comma 3 2 3 6 2" xfId="5772"/>
    <cellStyle name="Comma 3 2 3 6 2 2" xfId="5773"/>
    <cellStyle name="Comma 3 2 3 6 2 2 2" xfId="5774"/>
    <cellStyle name="Comma 3 2 3 6 2 2 2 2" xfId="5775"/>
    <cellStyle name="Comma 3 2 3 6 2 2 2 3" xfId="5776"/>
    <cellStyle name="Comma 3 2 3 6 2 2 3" xfId="5777"/>
    <cellStyle name="Comma 3 2 3 6 2 2 3 2" xfId="5778"/>
    <cellStyle name="Comma 3 2 3 6 2 2 4" xfId="5779"/>
    <cellStyle name="Comma 3 2 3 6 2 3" xfId="5780"/>
    <cellStyle name="Comma 3 2 3 6 2 3 2" xfId="5781"/>
    <cellStyle name="Comma 3 2 3 6 2 3 2 2" xfId="5782"/>
    <cellStyle name="Comma 3 2 3 6 2 3 3" xfId="5783"/>
    <cellStyle name="Comma 3 2 3 6 2 4" xfId="5784"/>
    <cellStyle name="Comma 3 2 3 6 2 4 2" xfId="5785"/>
    <cellStyle name="Comma 3 2 3 6 2 4 3" xfId="5786"/>
    <cellStyle name="Comma 3 2 3 6 2 5" xfId="5787"/>
    <cellStyle name="Comma 3 2 3 6 2 5 2" xfId="5788"/>
    <cellStyle name="Comma 3 2 3 6 2 6" xfId="5789"/>
    <cellStyle name="Comma 3 2 3 6 2 6 2" xfId="36079"/>
    <cellStyle name="Comma 3 2 3 6 2 7" xfId="5790"/>
    <cellStyle name="Comma 3 2 3 6 3" xfId="5791"/>
    <cellStyle name="Comma 3 2 3 6 3 2" xfId="5792"/>
    <cellStyle name="Comma 3 2 3 6 3 2 2" xfId="5793"/>
    <cellStyle name="Comma 3 2 3 6 3 2 2 2" xfId="5794"/>
    <cellStyle name="Comma 3 2 3 6 3 2 3" xfId="5795"/>
    <cellStyle name="Comma 3 2 3 6 3 3" xfId="5796"/>
    <cellStyle name="Comma 3 2 3 6 3 3 2" xfId="5797"/>
    <cellStyle name="Comma 3 2 3 6 3 4" xfId="5798"/>
    <cellStyle name="Comma 3 2 3 6 4" xfId="5799"/>
    <cellStyle name="Comma 3 2 3 6 4 2" xfId="5800"/>
    <cellStyle name="Comma 3 2 3 6 4 2 2" xfId="5801"/>
    <cellStyle name="Comma 3 2 3 6 4 3" xfId="5802"/>
    <cellStyle name="Comma 3 2 3 6 5" xfId="5803"/>
    <cellStyle name="Comma 3 2 3 6 5 2" xfId="5804"/>
    <cellStyle name="Comma 3 2 3 6 5 2 2" xfId="5805"/>
    <cellStyle name="Comma 3 2 3 6 5 3" xfId="5806"/>
    <cellStyle name="Comma 3 2 3 6 6" xfId="5807"/>
    <cellStyle name="Comma 3 2 3 6 6 2" xfId="5808"/>
    <cellStyle name="Comma 3 2 3 6 7" xfId="5809"/>
    <cellStyle name="Comma 3 2 3 6 7 2" xfId="36080"/>
    <cellStyle name="Comma 3 2 3 6 8" xfId="5810"/>
    <cellStyle name="Comma 3 2 3 7" xfId="5811"/>
    <cellStyle name="Comma 3 2 3 7 2" xfId="5812"/>
    <cellStyle name="Comma 3 2 3 7 2 2" xfId="5813"/>
    <cellStyle name="Comma 3 2 3 7 2 2 2" xfId="5814"/>
    <cellStyle name="Comma 3 2 3 7 2 2 2 2" xfId="5815"/>
    <cellStyle name="Comma 3 2 3 7 2 2 2 3" xfId="5816"/>
    <cellStyle name="Comma 3 2 3 7 2 2 3" xfId="5817"/>
    <cellStyle name="Comma 3 2 3 7 2 2 3 2" xfId="5818"/>
    <cellStyle name="Comma 3 2 3 7 2 2 4" xfId="5819"/>
    <cellStyle name="Comma 3 2 3 7 2 3" xfId="5820"/>
    <cellStyle name="Comma 3 2 3 7 2 3 2" xfId="5821"/>
    <cellStyle name="Comma 3 2 3 7 2 3 2 2" xfId="5822"/>
    <cellStyle name="Comma 3 2 3 7 2 3 3" xfId="5823"/>
    <cellStyle name="Comma 3 2 3 7 2 4" xfId="5824"/>
    <cellStyle name="Comma 3 2 3 7 2 4 2" xfId="5825"/>
    <cellStyle name="Comma 3 2 3 7 2 4 3" xfId="5826"/>
    <cellStyle name="Comma 3 2 3 7 2 5" xfId="5827"/>
    <cellStyle name="Comma 3 2 3 7 2 5 2" xfId="5828"/>
    <cellStyle name="Comma 3 2 3 7 2 6" xfId="5829"/>
    <cellStyle name="Comma 3 2 3 7 2 6 2" xfId="36081"/>
    <cellStyle name="Comma 3 2 3 7 2 7" xfId="5830"/>
    <cellStyle name="Comma 3 2 3 7 3" xfId="5831"/>
    <cellStyle name="Comma 3 2 3 7 3 2" xfId="5832"/>
    <cellStyle name="Comma 3 2 3 7 3 2 2" xfId="5833"/>
    <cellStyle name="Comma 3 2 3 7 3 2 2 2" xfId="5834"/>
    <cellStyle name="Comma 3 2 3 7 3 2 3" xfId="5835"/>
    <cellStyle name="Comma 3 2 3 7 3 3" xfId="5836"/>
    <cellStyle name="Comma 3 2 3 7 3 3 2" xfId="5837"/>
    <cellStyle name="Comma 3 2 3 7 3 4" xfId="5838"/>
    <cellStyle name="Comma 3 2 3 7 4" xfId="5839"/>
    <cellStyle name="Comma 3 2 3 7 4 2" xfId="5840"/>
    <cellStyle name="Comma 3 2 3 7 4 2 2" xfId="5841"/>
    <cellStyle name="Comma 3 2 3 7 4 3" xfId="5842"/>
    <cellStyle name="Comma 3 2 3 7 5" xfId="5843"/>
    <cellStyle name="Comma 3 2 3 7 5 2" xfId="5844"/>
    <cellStyle name="Comma 3 2 3 7 5 2 2" xfId="5845"/>
    <cellStyle name="Comma 3 2 3 7 5 3" xfId="5846"/>
    <cellStyle name="Comma 3 2 3 7 6" xfId="5847"/>
    <cellStyle name="Comma 3 2 3 7 6 2" xfId="5848"/>
    <cellStyle name="Comma 3 2 3 7 7" xfId="5849"/>
    <cellStyle name="Comma 3 2 3 7 7 2" xfId="36082"/>
    <cellStyle name="Comma 3 2 3 7 8" xfId="5850"/>
    <cellStyle name="Comma 3 2 3 8" xfId="5851"/>
    <cellStyle name="Comma 3 2 3 8 2" xfId="5852"/>
    <cellStyle name="Comma 3 2 3 8 2 2" xfId="5853"/>
    <cellStyle name="Comma 3 2 3 8 2 2 2" xfId="5854"/>
    <cellStyle name="Comma 3 2 3 8 2 2 3" xfId="5855"/>
    <cellStyle name="Comma 3 2 3 8 2 3" xfId="5856"/>
    <cellStyle name="Comma 3 2 3 8 2 3 2" xfId="5857"/>
    <cellStyle name="Comma 3 2 3 8 2 4" xfId="5858"/>
    <cellStyle name="Comma 3 2 3 8 3" xfId="5859"/>
    <cellStyle name="Comma 3 2 3 8 3 2" xfId="5860"/>
    <cellStyle name="Comma 3 2 3 8 3 2 2" xfId="5861"/>
    <cellStyle name="Comma 3 2 3 8 3 3" xfId="5862"/>
    <cellStyle name="Comma 3 2 3 8 4" xfId="5863"/>
    <cellStyle name="Comma 3 2 3 8 4 2" xfId="5864"/>
    <cellStyle name="Comma 3 2 3 8 4 3" xfId="5865"/>
    <cellStyle name="Comma 3 2 3 8 5" xfId="5866"/>
    <cellStyle name="Comma 3 2 3 8 5 2" xfId="5867"/>
    <cellStyle name="Comma 3 2 3 8 6" xfId="5868"/>
    <cellStyle name="Comma 3 2 3 8 6 2" xfId="36083"/>
    <cellStyle name="Comma 3 2 3 8 7" xfId="5869"/>
    <cellStyle name="Comma 3 2 3 9" xfId="5870"/>
    <cellStyle name="Comma 3 2 3 9 2" xfId="5871"/>
    <cellStyle name="Comma 3 2 3 9 2 2" xfId="5872"/>
    <cellStyle name="Comma 3 2 3 9 2 2 2" xfId="5873"/>
    <cellStyle name="Comma 3 2 3 9 2 3" xfId="5874"/>
    <cellStyle name="Comma 3 2 3 9 3" xfId="5875"/>
    <cellStyle name="Comma 3 2 3 9 3 2" xfId="5876"/>
    <cellStyle name="Comma 3 2 3 9 4" xfId="5877"/>
    <cellStyle name="Comma 3 2 4" xfId="5878"/>
    <cellStyle name="Comma 3 2 4 10" xfId="5879"/>
    <cellStyle name="Comma 3 2 4 10 2" xfId="5880"/>
    <cellStyle name="Comma 3 2 4 11" xfId="5881"/>
    <cellStyle name="Comma 3 2 4 11 2" xfId="36084"/>
    <cellStyle name="Comma 3 2 4 12" xfId="5882"/>
    <cellStyle name="Comma 3 2 4 2" xfId="5883"/>
    <cellStyle name="Comma 3 2 4 2 10" xfId="5884"/>
    <cellStyle name="Comma 3 2 4 2 2" xfId="5885"/>
    <cellStyle name="Comma 3 2 4 2 2 2" xfId="5886"/>
    <cellStyle name="Comma 3 2 4 2 2 2 2" xfId="5887"/>
    <cellStyle name="Comma 3 2 4 2 2 2 2 2" xfId="5888"/>
    <cellStyle name="Comma 3 2 4 2 2 2 2 2 2" xfId="5889"/>
    <cellStyle name="Comma 3 2 4 2 2 2 2 2 2 2" xfId="5890"/>
    <cellStyle name="Comma 3 2 4 2 2 2 2 2 2 3" xfId="5891"/>
    <cellStyle name="Comma 3 2 4 2 2 2 2 2 3" xfId="5892"/>
    <cellStyle name="Comma 3 2 4 2 2 2 2 2 3 2" xfId="5893"/>
    <cellStyle name="Comma 3 2 4 2 2 2 2 2 4" xfId="5894"/>
    <cellStyle name="Comma 3 2 4 2 2 2 2 3" xfId="5895"/>
    <cellStyle name="Comma 3 2 4 2 2 2 2 3 2" xfId="5896"/>
    <cellStyle name="Comma 3 2 4 2 2 2 2 3 2 2" xfId="5897"/>
    <cellStyle name="Comma 3 2 4 2 2 2 2 3 3" xfId="5898"/>
    <cellStyle name="Comma 3 2 4 2 2 2 2 4" xfId="5899"/>
    <cellStyle name="Comma 3 2 4 2 2 2 2 4 2" xfId="5900"/>
    <cellStyle name="Comma 3 2 4 2 2 2 2 4 3" xfId="5901"/>
    <cellStyle name="Comma 3 2 4 2 2 2 2 5" xfId="5902"/>
    <cellStyle name="Comma 3 2 4 2 2 2 2 5 2" xfId="5903"/>
    <cellStyle name="Comma 3 2 4 2 2 2 2 6" xfId="5904"/>
    <cellStyle name="Comma 3 2 4 2 2 2 2 6 2" xfId="36085"/>
    <cellStyle name="Comma 3 2 4 2 2 2 2 7" xfId="5905"/>
    <cellStyle name="Comma 3 2 4 2 2 2 3" xfId="5906"/>
    <cellStyle name="Comma 3 2 4 2 2 2 3 2" xfId="5907"/>
    <cellStyle name="Comma 3 2 4 2 2 2 3 2 2" xfId="5908"/>
    <cellStyle name="Comma 3 2 4 2 2 2 3 2 2 2" xfId="5909"/>
    <cellStyle name="Comma 3 2 4 2 2 2 3 2 3" xfId="5910"/>
    <cellStyle name="Comma 3 2 4 2 2 2 3 3" xfId="5911"/>
    <cellStyle name="Comma 3 2 4 2 2 2 3 3 2" xfId="5912"/>
    <cellStyle name="Comma 3 2 4 2 2 2 3 4" xfId="5913"/>
    <cellStyle name="Comma 3 2 4 2 2 2 4" xfId="5914"/>
    <cellStyle name="Comma 3 2 4 2 2 2 4 2" xfId="5915"/>
    <cellStyle name="Comma 3 2 4 2 2 2 4 2 2" xfId="5916"/>
    <cellStyle name="Comma 3 2 4 2 2 2 4 3" xfId="5917"/>
    <cellStyle name="Comma 3 2 4 2 2 2 5" xfId="5918"/>
    <cellStyle name="Comma 3 2 4 2 2 2 5 2" xfId="5919"/>
    <cellStyle name="Comma 3 2 4 2 2 2 5 2 2" xfId="5920"/>
    <cellStyle name="Comma 3 2 4 2 2 2 5 3" xfId="5921"/>
    <cellStyle name="Comma 3 2 4 2 2 2 6" xfId="5922"/>
    <cellStyle name="Comma 3 2 4 2 2 2 6 2" xfId="5923"/>
    <cellStyle name="Comma 3 2 4 2 2 2 7" xfId="5924"/>
    <cellStyle name="Comma 3 2 4 2 2 2 7 2" xfId="36086"/>
    <cellStyle name="Comma 3 2 4 2 2 2 8" xfId="5925"/>
    <cellStyle name="Comma 3 2 4 2 2 3" xfId="5926"/>
    <cellStyle name="Comma 3 2 4 2 2 3 2" xfId="5927"/>
    <cellStyle name="Comma 3 2 4 2 2 3 2 2" xfId="5928"/>
    <cellStyle name="Comma 3 2 4 2 2 3 2 2 2" xfId="5929"/>
    <cellStyle name="Comma 3 2 4 2 2 3 2 2 3" xfId="5930"/>
    <cellStyle name="Comma 3 2 4 2 2 3 2 3" xfId="5931"/>
    <cellStyle name="Comma 3 2 4 2 2 3 2 3 2" xfId="5932"/>
    <cellStyle name="Comma 3 2 4 2 2 3 2 4" xfId="5933"/>
    <cellStyle name="Comma 3 2 4 2 2 3 3" xfId="5934"/>
    <cellStyle name="Comma 3 2 4 2 2 3 3 2" xfId="5935"/>
    <cellStyle name="Comma 3 2 4 2 2 3 3 2 2" xfId="5936"/>
    <cellStyle name="Comma 3 2 4 2 2 3 3 3" xfId="5937"/>
    <cellStyle name="Comma 3 2 4 2 2 3 4" xfId="5938"/>
    <cellStyle name="Comma 3 2 4 2 2 3 4 2" xfId="5939"/>
    <cellStyle name="Comma 3 2 4 2 2 3 4 3" xfId="5940"/>
    <cellStyle name="Comma 3 2 4 2 2 3 5" xfId="5941"/>
    <cellStyle name="Comma 3 2 4 2 2 3 5 2" xfId="5942"/>
    <cellStyle name="Comma 3 2 4 2 2 3 6" xfId="5943"/>
    <cellStyle name="Comma 3 2 4 2 2 3 6 2" xfId="36087"/>
    <cellStyle name="Comma 3 2 4 2 2 3 7" xfId="5944"/>
    <cellStyle name="Comma 3 2 4 2 2 4" xfId="5945"/>
    <cellStyle name="Comma 3 2 4 2 2 4 2" xfId="5946"/>
    <cellStyle name="Comma 3 2 4 2 2 4 2 2" xfId="5947"/>
    <cellStyle name="Comma 3 2 4 2 2 4 2 2 2" xfId="5948"/>
    <cellStyle name="Comma 3 2 4 2 2 4 2 3" xfId="5949"/>
    <cellStyle name="Comma 3 2 4 2 2 4 3" xfId="5950"/>
    <cellStyle name="Comma 3 2 4 2 2 4 3 2" xfId="5951"/>
    <cellStyle name="Comma 3 2 4 2 2 4 4" xfId="5952"/>
    <cellStyle name="Comma 3 2 4 2 2 5" xfId="5953"/>
    <cellStyle name="Comma 3 2 4 2 2 5 2" xfId="5954"/>
    <cellStyle name="Comma 3 2 4 2 2 5 2 2" xfId="5955"/>
    <cellStyle name="Comma 3 2 4 2 2 5 3" xfId="5956"/>
    <cellStyle name="Comma 3 2 4 2 2 6" xfId="5957"/>
    <cellStyle name="Comma 3 2 4 2 2 6 2" xfId="5958"/>
    <cellStyle name="Comma 3 2 4 2 2 6 2 2" xfId="5959"/>
    <cellStyle name="Comma 3 2 4 2 2 6 3" xfId="5960"/>
    <cellStyle name="Comma 3 2 4 2 2 7" xfId="5961"/>
    <cellStyle name="Comma 3 2 4 2 2 7 2" xfId="5962"/>
    <cellStyle name="Comma 3 2 4 2 2 8" xfId="5963"/>
    <cellStyle name="Comma 3 2 4 2 2 8 2" xfId="36088"/>
    <cellStyle name="Comma 3 2 4 2 2 9" xfId="5964"/>
    <cellStyle name="Comma 3 2 4 2 3" xfId="5965"/>
    <cellStyle name="Comma 3 2 4 2 3 2" xfId="5966"/>
    <cellStyle name="Comma 3 2 4 2 3 2 2" xfId="5967"/>
    <cellStyle name="Comma 3 2 4 2 3 2 2 2" xfId="5968"/>
    <cellStyle name="Comma 3 2 4 2 3 2 2 2 2" xfId="5969"/>
    <cellStyle name="Comma 3 2 4 2 3 2 2 2 3" xfId="5970"/>
    <cellStyle name="Comma 3 2 4 2 3 2 2 3" xfId="5971"/>
    <cellStyle name="Comma 3 2 4 2 3 2 2 3 2" xfId="5972"/>
    <cellStyle name="Comma 3 2 4 2 3 2 2 4" xfId="5973"/>
    <cellStyle name="Comma 3 2 4 2 3 2 3" xfId="5974"/>
    <cellStyle name="Comma 3 2 4 2 3 2 3 2" xfId="5975"/>
    <cellStyle name="Comma 3 2 4 2 3 2 3 2 2" xfId="5976"/>
    <cellStyle name="Comma 3 2 4 2 3 2 3 3" xfId="5977"/>
    <cellStyle name="Comma 3 2 4 2 3 2 4" xfId="5978"/>
    <cellStyle name="Comma 3 2 4 2 3 2 4 2" xfId="5979"/>
    <cellStyle name="Comma 3 2 4 2 3 2 4 3" xfId="5980"/>
    <cellStyle name="Comma 3 2 4 2 3 2 5" xfId="5981"/>
    <cellStyle name="Comma 3 2 4 2 3 2 5 2" xfId="5982"/>
    <cellStyle name="Comma 3 2 4 2 3 2 6" xfId="5983"/>
    <cellStyle name="Comma 3 2 4 2 3 2 6 2" xfId="36089"/>
    <cellStyle name="Comma 3 2 4 2 3 2 7" xfId="5984"/>
    <cellStyle name="Comma 3 2 4 2 3 3" xfId="5985"/>
    <cellStyle name="Comma 3 2 4 2 3 3 2" xfId="5986"/>
    <cellStyle name="Comma 3 2 4 2 3 3 2 2" xfId="5987"/>
    <cellStyle name="Comma 3 2 4 2 3 3 2 2 2" xfId="5988"/>
    <cellStyle name="Comma 3 2 4 2 3 3 2 3" xfId="5989"/>
    <cellStyle name="Comma 3 2 4 2 3 3 3" xfId="5990"/>
    <cellStyle name="Comma 3 2 4 2 3 3 3 2" xfId="5991"/>
    <cellStyle name="Comma 3 2 4 2 3 3 4" xfId="5992"/>
    <cellStyle name="Comma 3 2 4 2 3 4" xfId="5993"/>
    <cellStyle name="Comma 3 2 4 2 3 4 2" xfId="5994"/>
    <cellStyle name="Comma 3 2 4 2 3 4 2 2" xfId="5995"/>
    <cellStyle name="Comma 3 2 4 2 3 4 3" xfId="5996"/>
    <cellStyle name="Comma 3 2 4 2 3 5" xfId="5997"/>
    <cellStyle name="Comma 3 2 4 2 3 5 2" xfId="5998"/>
    <cellStyle name="Comma 3 2 4 2 3 5 2 2" xfId="5999"/>
    <cellStyle name="Comma 3 2 4 2 3 5 3" xfId="6000"/>
    <cellStyle name="Comma 3 2 4 2 3 6" xfId="6001"/>
    <cellStyle name="Comma 3 2 4 2 3 6 2" xfId="6002"/>
    <cellStyle name="Comma 3 2 4 2 3 7" xfId="6003"/>
    <cellStyle name="Comma 3 2 4 2 3 7 2" xfId="36090"/>
    <cellStyle name="Comma 3 2 4 2 3 8" xfId="6004"/>
    <cellStyle name="Comma 3 2 4 2 4" xfId="6005"/>
    <cellStyle name="Comma 3 2 4 2 4 2" xfId="6006"/>
    <cellStyle name="Comma 3 2 4 2 4 2 2" xfId="6007"/>
    <cellStyle name="Comma 3 2 4 2 4 2 2 2" xfId="6008"/>
    <cellStyle name="Comma 3 2 4 2 4 2 2 3" xfId="6009"/>
    <cellStyle name="Comma 3 2 4 2 4 2 3" xfId="6010"/>
    <cellStyle name="Comma 3 2 4 2 4 2 3 2" xfId="6011"/>
    <cellStyle name="Comma 3 2 4 2 4 2 4" xfId="6012"/>
    <cellStyle name="Comma 3 2 4 2 4 3" xfId="6013"/>
    <cellStyle name="Comma 3 2 4 2 4 3 2" xfId="6014"/>
    <cellStyle name="Comma 3 2 4 2 4 3 2 2" xfId="6015"/>
    <cellStyle name="Comma 3 2 4 2 4 3 3" xfId="6016"/>
    <cellStyle name="Comma 3 2 4 2 4 4" xfId="6017"/>
    <cellStyle name="Comma 3 2 4 2 4 4 2" xfId="6018"/>
    <cellStyle name="Comma 3 2 4 2 4 4 3" xfId="6019"/>
    <cellStyle name="Comma 3 2 4 2 4 5" xfId="6020"/>
    <cellStyle name="Comma 3 2 4 2 4 5 2" xfId="6021"/>
    <cellStyle name="Comma 3 2 4 2 4 6" xfId="6022"/>
    <cellStyle name="Comma 3 2 4 2 4 6 2" xfId="36091"/>
    <cellStyle name="Comma 3 2 4 2 4 7" xfId="6023"/>
    <cellStyle name="Comma 3 2 4 2 5" xfId="6024"/>
    <cellStyle name="Comma 3 2 4 2 5 2" xfId="6025"/>
    <cellStyle name="Comma 3 2 4 2 5 2 2" xfId="6026"/>
    <cellStyle name="Comma 3 2 4 2 5 2 2 2" xfId="6027"/>
    <cellStyle name="Comma 3 2 4 2 5 2 3" xfId="6028"/>
    <cellStyle name="Comma 3 2 4 2 5 3" xfId="6029"/>
    <cellStyle name="Comma 3 2 4 2 5 3 2" xfId="6030"/>
    <cellStyle name="Comma 3 2 4 2 5 4" xfId="6031"/>
    <cellStyle name="Comma 3 2 4 2 6" xfId="6032"/>
    <cellStyle name="Comma 3 2 4 2 6 2" xfId="6033"/>
    <cellStyle name="Comma 3 2 4 2 6 2 2" xfId="6034"/>
    <cellStyle name="Comma 3 2 4 2 6 3" xfId="6035"/>
    <cellStyle name="Comma 3 2 4 2 7" xfId="6036"/>
    <cellStyle name="Comma 3 2 4 2 7 2" xfId="6037"/>
    <cellStyle name="Comma 3 2 4 2 7 2 2" xfId="6038"/>
    <cellStyle name="Comma 3 2 4 2 7 3" xfId="6039"/>
    <cellStyle name="Comma 3 2 4 2 8" xfId="6040"/>
    <cellStyle name="Comma 3 2 4 2 8 2" xfId="6041"/>
    <cellStyle name="Comma 3 2 4 2 9" xfId="6042"/>
    <cellStyle name="Comma 3 2 4 2 9 2" xfId="36092"/>
    <cellStyle name="Comma 3 2 4 3" xfId="6043"/>
    <cellStyle name="Comma 3 2 4 3 2" xfId="6044"/>
    <cellStyle name="Comma 3 2 4 3 2 2" xfId="6045"/>
    <cellStyle name="Comma 3 2 4 3 2 2 2" xfId="6046"/>
    <cellStyle name="Comma 3 2 4 3 2 2 2 2" xfId="6047"/>
    <cellStyle name="Comma 3 2 4 3 2 2 2 2 2" xfId="6048"/>
    <cellStyle name="Comma 3 2 4 3 2 2 2 2 3" xfId="6049"/>
    <cellStyle name="Comma 3 2 4 3 2 2 2 3" xfId="6050"/>
    <cellStyle name="Comma 3 2 4 3 2 2 2 3 2" xfId="6051"/>
    <cellStyle name="Comma 3 2 4 3 2 2 2 4" xfId="6052"/>
    <cellStyle name="Comma 3 2 4 3 2 2 3" xfId="6053"/>
    <cellStyle name="Comma 3 2 4 3 2 2 3 2" xfId="6054"/>
    <cellStyle name="Comma 3 2 4 3 2 2 3 2 2" xfId="6055"/>
    <cellStyle name="Comma 3 2 4 3 2 2 3 3" xfId="6056"/>
    <cellStyle name="Comma 3 2 4 3 2 2 4" xfId="6057"/>
    <cellStyle name="Comma 3 2 4 3 2 2 4 2" xfId="6058"/>
    <cellStyle name="Comma 3 2 4 3 2 2 4 3" xfId="6059"/>
    <cellStyle name="Comma 3 2 4 3 2 2 5" xfId="6060"/>
    <cellStyle name="Comma 3 2 4 3 2 2 5 2" xfId="6061"/>
    <cellStyle name="Comma 3 2 4 3 2 2 6" xfId="6062"/>
    <cellStyle name="Comma 3 2 4 3 2 2 6 2" xfId="36093"/>
    <cellStyle name="Comma 3 2 4 3 2 2 7" xfId="6063"/>
    <cellStyle name="Comma 3 2 4 3 2 3" xfId="6064"/>
    <cellStyle name="Comma 3 2 4 3 2 3 2" xfId="6065"/>
    <cellStyle name="Comma 3 2 4 3 2 3 2 2" xfId="6066"/>
    <cellStyle name="Comma 3 2 4 3 2 3 2 2 2" xfId="6067"/>
    <cellStyle name="Comma 3 2 4 3 2 3 2 3" xfId="6068"/>
    <cellStyle name="Comma 3 2 4 3 2 3 3" xfId="6069"/>
    <cellStyle name="Comma 3 2 4 3 2 3 3 2" xfId="6070"/>
    <cellStyle name="Comma 3 2 4 3 2 3 4" xfId="6071"/>
    <cellStyle name="Comma 3 2 4 3 2 4" xfId="6072"/>
    <cellStyle name="Comma 3 2 4 3 2 4 2" xfId="6073"/>
    <cellStyle name="Comma 3 2 4 3 2 4 2 2" xfId="6074"/>
    <cellStyle name="Comma 3 2 4 3 2 4 3" xfId="6075"/>
    <cellStyle name="Comma 3 2 4 3 2 5" xfId="6076"/>
    <cellStyle name="Comma 3 2 4 3 2 5 2" xfId="6077"/>
    <cellStyle name="Comma 3 2 4 3 2 5 2 2" xfId="6078"/>
    <cellStyle name="Comma 3 2 4 3 2 5 3" xfId="6079"/>
    <cellStyle name="Comma 3 2 4 3 2 6" xfId="6080"/>
    <cellStyle name="Comma 3 2 4 3 2 6 2" xfId="6081"/>
    <cellStyle name="Comma 3 2 4 3 2 7" xfId="6082"/>
    <cellStyle name="Comma 3 2 4 3 2 7 2" xfId="36094"/>
    <cellStyle name="Comma 3 2 4 3 2 8" xfId="6083"/>
    <cellStyle name="Comma 3 2 4 3 3" xfId="6084"/>
    <cellStyle name="Comma 3 2 4 3 3 2" xfId="6085"/>
    <cellStyle name="Comma 3 2 4 3 3 2 2" xfId="6086"/>
    <cellStyle name="Comma 3 2 4 3 3 2 2 2" xfId="6087"/>
    <cellStyle name="Comma 3 2 4 3 3 2 2 3" xfId="6088"/>
    <cellStyle name="Comma 3 2 4 3 3 2 3" xfId="6089"/>
    <cellStyle name="Comma 3 2 4 3 3 2 3 2" xfId="6090"/>
    <cellStyle name="Comma 3 2 4 3 3 2 4" xfId="6091"/>
    <cellStyle name="Comma 3 2 4 3 3 3" xfId="6092"/>
    <cellStyle name="Comma 3 2 4 3 3 3 2" xfId="6093"/>
    <cellStyle name="Comma 3 2 4 3 3 3 2 2" xfId="6094"/>
    <cellStyle name="Comma 3 2 4 3 3 3 3" xfId="6095"/>
    <cellStyle name="Comma 3 2 4 3 3 4" xfId="6096"/>
    <cellStyle name="Comma 3 2 4 3 3 4 2" xfId="6097"/>
    <cellStyle name="Comma 3 2 4 3 3 4 3" xfId="6098"/>
    <cellStyle name="Comma 3 2 4 3 3 5" xfId="6099"/>
    <cellStyle name="Comma 3 2 4 3 3 5 2" xfId="6100"/>
    <cellStyle name="Comma 3 2 4 3 3 6" xfId="6101"/>
    <cellStyle name="Comma 3 2 4 3 3 6 2" xfId="36095"/>
    <cellStyle name="Comma 3 2 4 3 3 7" xfId="6102"/>
    <cellStyle name="Comma 3 2 4 3 4" xfId="6103"/>
    <cellStyle name="Comma 3 2 4 3 4 2" xfId="6104"/>
    <cellStyle name="Comma 3 2 4 3 4 2 2" xfId="6105"/>
    <cellStyle name="Comma 3 2 4 3 4 2 2 2" xfId="6106"/>
    <cellStyle name="Comma 3 2 4 3 4 2 3" xfId="6107"/>
    <cellStyle name="Comma 3 2 4 3 4 3" xfId="6108"/>
    <cellStyle name="Comma 3 2 4 3 4 3 2" xfId="6109"/>
    <cellStyle name="Comma 3 2 4 3 4 4" xfId="6110"/>
    <cellStyle name="Comma 3 2 4 3 5" xfId="6111"/>
    <cellStyle name="Comma 3 2 4 3 5 2" xfId="6112"/>
    <cellStyle name="Comma 3 2 4 3 5 2 2" xfId="6113"/>
    <cellStyle name="Comma 3 2 4 3 5 3" xfId="6114"/>
    <cellStyle name="Comma 3 2 4 3 6" xfId="6115"/>
    <cellStyle name="Comma 3 2 4 3 6 2" xfId="6116"/>
    <cellStyle name="Comma 3 2 4 3 6 2 2" xfId="6117"/>
    <cellStyle name="Comma 3 2 4 3 6 3" xfId="6118"/>
    <cellStyle name="Comma 3 2 4 3 7" xfId="6119"/>
    <cellStyle name="Comma 3 2 4 3 7 2" xfId="6120"/>
    <cellStyle name="Comma 3 2 4 3 8" xfId="6121"/>
    <cellStyle name="Comma 3 2 4 3 8 2" xfId="36096"/>
    <cellStyle name="Comma 3 2 4 3 9" xfId="6122"/>
    <cellStyle name="Comma 3 2 4 4" xfId="6123"/>
    <cellStyle name="Comma 3 2 4 4 2" xfId="6124"/>
    <cellStyle name="Comma 3 2 4 4 2 2" xfId="6125"/>
    <cellStyle name="Comma 3 2 4 4 2 2 2" xfId="6126"/>
    <cellStyle name="Comma 3 2 4 4 2 2 2 2" xfId="6127"/>
    <cellStyle name="Comma 3 2 4 4 2 2 2 3" xfId="6128"/>
    <cellStyle name="Comma 3 2 4 4 2 2 3" xfId="6129"/>
    <cellStyle name="Comma 3 2 4 4 2 2 3 2" xfId="6130"/>
    <cellStyle name="Comma 3 2 4 4 2 2 4" xfId="6131"/>
    <cellStyle name="Comma 3 2 4 4 2 3" xfId="6132"/>
    <cellStyle name="Comma 3 2 4 4 2 3 2" xfId="6133"/>
    <cellStyle name="Comma 3 2 4 4 2 3 2 2" xfId="6134"/>
    <cellStyle name="Comma 3 2 4 4 2 3 3" xfId="6135"/>
    <cellStyle name="Comma 3 2 4 4 2 4" xfId="6136"/>
    <cellStyle name="Comma 3 2 4 4 2 4 2" xfId="6137"/>
    <cellStyle name="Comma 3 2 4 4 2 4 3" xfId="6138"/>
    <cellStyle name="Comma 3 2 4 4 2 5" xfId="6139"/>
    <cellStyle name="Comma 3 2 4 4 2 5 2" xfId="6140"/>
    <cellStyle name="Comma 3 2 4 4 2 6" xfId="6141"/>
    <cellStyle name="Comma 3 2 4 4 2 6 2" xfId="36097"/>
    <cellStyle name="Comma 3 2 4 4 2 7" xfId="6142"/>
    <cellStyle name="Comma 3 2 4 4 3" xfId="6143"/>
    <cellStyle name="Comma 3 2 4 4 3 2" xfId="6144"/>
    <cellStyle name="Comma 3 2 4 4 3 2 2" xfId="6145"/>
    <cellStyle name="Comma 3 2 4 4 3 2 2 2" xfId="6146"/>
    <cellStyle name="Comma 3 2 4 4 3 2 3" xfId="6147"/>
    <cellStyle name="Comma 3 2 4 4 3 3" xfId="6148"/>
    <cellStyle name="Comma 3 2 4 4 3 3 2" xfId="6149"/>
    <cellStyle name="Comma 3 2 4 4 3 4" xfId="6150"/>
    <cellStyle name="Comma 3 2 4 4 4" xfId="6151"/>
    <cellStyle name="Comma 3 2 4 4 4 2" xfId="6152"/>
    <cellStyle name="Comma 3 2 4 4 4 2 2" xfId="6153"/>
    <cellStyle name="Comma 3 2 4 4 4 3" xfId="6154"/>
    <cellStyle name="Comma 3 2 4 4 5" xfId="6155"/>
    <cellStyle name="Comma 3 2 4 4 5 2" xfId="6156"/>
    <cellStyle name="Comma 3 2 4 4 5 2 2" xfId="6157"/>
    <cellStyle name="Comma 3 2 4 4 5 3" xfId="6158"/>
    <cellStyle name="Comma 3 2 4 4 6" xfId="6159"/>
    <cellStyle name="Comma 3 2 4 4 6 2" xfId="6160"/>
    <cellStyle name="Comma 3 2 4 4 7" xfId="6161"/>
    <cellStyle name="Comma 3 2 4 4 7 2" xfId="36098"/>
    <cellStyle name="Comma 3 2 4 4 8" xfId="6162"/>
    <cellStyle name="Comma 3 2 4 5" xfId="6163"/>
    <cellStyle name="Comma 3 2 4 5 2" xfId="6164"/>
    <cellStyle name="Comma 3 2 4 5 2 2" xfId="6165"/>
    <cellStyle name="Comma 3 2 4 5 2 2 2" xfId="6166"/>
    <cellStyle name="Comma 3 2 4 5 2 2 2 2" xfId="6167"/>
    <cellStyle name="Comma 3 2 4 5 2 2 2 3" xfId="6168"/>
    <cellStyle name="Comma 3 2 4 5 2 2 3" xfId="6169"/>
    <cellStyle name="Comma 3 2 4 5 2 2 3 2" xfId="6170"/>
    <cellStyle name="Comma 3 2 4 5 2 2 4" xfId="6171"/>
    <cellStyle name="Comma 3 2 4 5 2 3" xfId="6172"/>
    <cellStyle name="Comma 3 2 4 5 2 3 2" xfId="6173"/>
    <cellStyle name="Comma 3 2 4 5 2 3 2 2" xfId="6174"/>
    <cellStyle name="Comma 3 2 4 5 2 3 3" xfId="6175"/>
    <cellStyle name="Comma 3 2 4 5 2 4" xfId="6176"/>
    <cellStyle name="Comma 3 2 4 5 2 4 2" xfId="6177"/>
    <cellStyle name="Comma 3 2 4 5 2 4 3" xfId="6178"/>
    <cellStyle name="Comma 3 2 4 5 2 5" xfId="6179"/>
    <cellStyle name="Comma 3 2 4 5 2 5 2" xfId="6180"/>
    <cellStyle name="Comma 3 2 4 5 2 6" xfId="6181"/>
    <cellStyle name="Comma 3 2 4 5 2 6 2" xfId="36099"/>
    <cellStyle name="Comma 3 2 4 5 2 7" xfId="6182"/>
    <cellStyle name="Comma 3 2 4 5 3" xfId="6183"/>
    <cellStyle name="Comma 3 2 4 5 3 2" xfId="6184"/>
    <cellStyle name="Comma 3 2 4 5 3 2 2" xfId="6185"/>
    <cellStyle name="Comma 3 2 4 5 3 2 2 2" xfId="6186"/>
    <cellStyle name="Comma 3 2 4 5 3 2 3" xfId="6187"/>
    <cellStyle name="Comma 3 2 4 5 3 3" xfId="6188"/>
    <cellStyle name="Comma 3 2 4 5 3 3 2" xfId="6189"/>
    <cellStyle name="Comma 3 2 4 5 3 4" xfId="6190"/>
    <cellStyle name="Comma 3 2 4 5 4" xfId="6191"/>
    <cellStyle name="Comma 3 2 4 5 4 2" xfId="6192"/>
    <cellStyle name="Comma 3 2 4 5 4 2 2" xfId="6193"/>
    <cellStyle name="Comma 3 2 4 5 4 3" xfId="6194"/>
    <cellStyle name="Comma 3 2 4 5 5" xfId="6195"/>
    <cellStyle name="Comma 3 2 4 5 5 2" xfId="6196"/>
    <cellStyle name="Comma 3 2 4 5 5 2 2" xfId="6197"/>
    <cellStyle name="Comma 3 2 4 5 5 3" xfId="6198"/>
    <cellStyle name="Comma 3 2 4 5 6" xfId="6199"/>
    <cellStyle name="Comma 3 2 4 5 6 2" xfId="6200"/>
    <cellStyle name="Comma 3 2 4 5 7" xfId="6201"/>
    <cellStyle name="Comma 3 2 4 5 7 2" xfId="36100"/>
    <cellStyle name="Comma 3 2 4 5 8" xfId="6202"/>
    <cellStyle name="Comma 3 2 4 6" xfId="6203"/>
    <cellStyle name="Comma 3 2 4 6 2" xfId="6204"/>
    <cellStyle name="Comma 3 2 4 6 2 2" xfId="6205"/>
    <cellStyle name="Comma 3 2 4 6 2 2 2" xfId="6206"/>
    <cellStyle name="Comma 3 2 4 6 2 2 3" xfId="6207"/>
    <cellStyle name="Comma 3 2 4 6 2 3" xfId="6208"/>
    <cellStyle name="Comma 3 2 4 6 2 3 2" xfId="6209"/>
    <cellStyle name="Comma 3 2 4 6 2 4" xfId="6210"/>
    <cellStyle name="Comma 3 2 4 6 3" xfId="6211"/>
    <cellStyle name="Comma 3 2 4 6 3 2" xfId="6212"/>
    <cellStyle name="Comma 3 2 4 6 3 2 2" xfId="6213"/>
    <cellStyle name="Comma 3 2 4 6 3 3" xfId="6214"/>
    <cellStyle name="Comma 3 2 4 6 4" xfId="6215"/>
    <cellStyle name="Comma 3 2 4 6 4 2" xfId="6216"/>
    <cellStyle name="Comma 3 2 4 6 4 3" xfId="6217"/>
    <cellStyle name="Comma 3 2 4 6 5" xfId="6218"/>
    <cellStyle name="Comma 3 2 4 6 5 2" xfId="6219"/>
    <cellStyle name="Comma 3 2 4 6 6" xfId="6220"/>
    <cellStyle name="Comma 3 2 4 6 6 2" xfId="36101"/>
    <cellStyle name="Comma 3 2 4 6 7" xfId="6221"/>
    <cellStyle name="Comma 3 2 4 7" xfId="6222"/>
    <cellStyle name="Comma 3 2 4 7 2" xfId="6223"/>
    <cellStyle name="Comma 3 2 4 7 2 2" xfId="6224"/>
    <cellStyle name="Comma 3 2 4 7 2 2 2" xfId="6225"/>
    <cellStyle name="Comma 3 2 4 7 2 3" xfId="6226"/>
    <cellStyle name="Comma 3 2 4 7 3" xfId="6227"/>
    <cellStyle name="Comma 3 2 4 7 3 2" xfId="6228"/>
    <cellStyle name="Comma 3 2 4 7 4" xfId="6229"/>
    <cellStyle name="Comma 3 2 4 8" xfId="6230"/>
    <cellStyle name="Comma 3 2 4 8 2" xfId="6231"/>
    <cellStyle name="Comma 3 2 4 8 2 2" xfId="6232"/>
    <cellStyle name="Comma 3 2 4 8 3" xfId="6233"/>
    <cellStyle name="Comma 3 2 4 9" xfId="6234"/>
    <cellStyle name="Comma 3 2 4 9 2" xfId="6235"/>
    <cellStyle name="Comma 3 2 4 9 2 2" xfId="6236"/>
    <cellStyle name="Comma 3 2 4 9 3" xfId="6237"/>
    <cellStyle name="Comma 3 2 5" xfId="6238"/>
    <cellStyle name="Comma 3 2 5 10" xfId="6239"/>
    <cellStyle name="Comma 3 2 5 10 2" xfId="6240"/>
    <cellStyle name="Comma 3 2 5 11" xfId="6241"/>
    <cellStyle name="Comma 3 2 5 11 2" xfId="36102"/>
    <cellStyle name="Comma 3 2 5 12" xfId="6242"/>
    <cellStyle name="Comma 3 2 5 2" xfId="6243"/>
    <cellStyle name="Comma 3 2 5 2 10" xfId="6244"/>
    <cellStyle name="Comma 3 2 5 2 2" xfId="6245"/>
    <cellStyle name="Comma 3 2 5 2 2 2" xfId="6246"/>
    <cellStyle name="Comma 3 2 5 2 2 2 2" xfId="6247"/>
    <cellStyle name="Comma 3 2 5 2 2 2 2 2" xfId="6248"/>
    <cellStyle name="Comma 3 2 5 2 2 2 2 2 2" xfId="6249"/>
    <cellStyle name="Comma 3 2 5 2 2 2 2 2 2 2" xfId="6250"/>
    <cellStyle name="Comma 3 2 5 2 2 2 2 2 2 3" xfId="6251"/>
    <cellStyle name="Comma 3 2 5 2 2 2 2 2 3" xfId="6252"/>
    <cellStyle name="Comma 3 2 5 2 2 2 2 2 3 2" xfId="6253"/>
    <cellStyle name="Comma 3 2 5 2 2 2 2 2 4" xfId="6254"/>
    <cellStyle name="Comma 3 2 5 2 2 2 2 3" xfId="6255"/>
    <cellStyle name="Comma 3 2 5 2 2 2 2 3 2" xfId="6256"/>
    <cellStyle name="Comma 3 2 5 2 2 2 2 3 2 2" xfId="6257"/>
    <cellStyle name="Comma 3 2 5 2 2 2 2 3 3" xfId="6258"/>
    <cellStyle name="Comma 3 2 5 2 2 2 2 4" xfId="6259"/>
    <cellStyle name="Comma 3 2 5 2 2 2 2 4 2" xfId="6260"/>
    <cellStyle name="Comma 3 2 5 2 2 2 2 4 3" xfId="6261"/>
    <cellStyle name="Comma 3 2 5 2 2 2 2 5" xfId="6262"/>
    <cellStyle name="Comma 3 2 5 2 2 2 2 5 2" xfId="6263"/>
    <cellStyle name="Comma 3 2 5 2 2 2 2 6" xfId="6264"/>
    <cellStyle name="Comma 3 2 5 2 2 2 2 6 2" xfId="36103"/>
    <cellStyle name="Comma 3 2 5 2 2 2 2 7" xfId="6265"/>
    <cellStyle name="Comma 3 2 5 2 2 2 3" xfId="6266"/>
    <cellStyle name="Comma 3 2 5 2 2 2 3 2" xfId="6267"/>
    <cellStyle name="Comma 3 2 5 2 2 2 3 2 2" xfId="6268"/>
    <cellStyle name="Comma 3 2 5 2 2 2 3 2 2 2" xfId="6269"/>
    <cellStyle name="Comma 3 2 5 2 2 2 3 2 3" xfId="6270"/>
    <cellStyle name="Comma 3 2 5 2 2 2 3 3" xfId="6271"/>
    <cellStyle name="Comma 3 2 5 2 2 2 3 3 2" xfId="6272"/>
    <cellStyle name="Comma 3 2 5 2 2 2 3 4" xfId="6273"/>
    <cellStyle name="Comma 3 2 5 2 2 2 4" xfId="6274"/>
    <cellStyle name="Comma 3 2 5 2 2 2 4 2" xfId="6275"/>
    <cellStyle name="Comma 3 2 5 2 2 2 4 2 2" xfId="6276"/>
    <cellStyle name="Comma 3 2 5 2 2 2 4 3" xfId="6277"/>
    <cellStyle name="Comma 3 2 5 2 2 2 5" xfId="6278"/>
    <cellStyle name="Comma 3 2 5 2 2 2 5 2" xfId="6279"/>
    <cellStyle name="Comma 3 2 5 2 2 2 5 2 2" xfId="6280"/>
    <cellStyle name="Comma 3 2 5 2 2 2 5 3" xfId="6281"/>
    <cellStyle name="Comma 3 2 5 2 2 2 6" xfId="6282"/>
    <cellStyle name="Comma 3 2 5 2 2 2 6 2" xfId="6283"/>
    <cellStyle name="Comma 3 2 5 2 2 2 7" xfId="6284"/>
    <cellStyle name="Comma 3 2 5 2 2 2 7 2" xfId="36104"/>
    <cellStyle name="Comma 3 2 5 2 2 2 8" xfId="6285"/>
    <cellStyle name="Comma 3 2 5 2 2 3" xfId="6286"/>
    <cellStyle name="Comma 3 2 5 2 2 3 2" xfId="6287"/>
    <cellStyle name="Comma 3 2 5 2 2 3 2 2" xfId="6288"/>
    <cellStyle name="Comma 3 2 5 2 2 3 2 2 2" xfId="6289"/>
    <cellStyle name="Comma 3 2 5 2 2 3 2 2 3" xfId="6290"/>
    <cellStyle name="Comma 3 2 5 2 2 3 2 3" xfId="6291"/>
    <cellStyle name="Comma 3 2 5 2 2 3 2 3 2" xfId="6292"/>
    <cellStyle name="Comma 3 2 5 2 2 3 2 4" xfId="6293"/>
    <cellStyle name="Comma 3 2 5 2 2 3 3" xfId="6294"/>
    <cellStyle name="Comma 3 2 5 2 2 3 3 2" xfId="6295"/>
    <cellStyle name="Comma 3 2 5 2 2 3 3 2 2" xfId="6296"/>
    <cellStyle name="Comma 3 2 5 2 2 3 3 3" xfId="6297"/>
    <cellStyle name="Comma 3 2 5 2 2 3 4" xfId="6298"/>
    <cellStyle name="Comma 3 2 5 2 2 3 4 2" xfId="6299"/>
    <cellStyle name="Comma 3 2 5 2 2 3 4 3" xfId="6300"/>
    <cellStyle name="Comma 3 2 5 2 2 3 5" xfId="6301"/>
    <cellStyle name="Comma 3 2 5 2 2 3 5 2" xfId="6302"/>
    <cellStyle name="Comma 3 2 5 2 2 3 6" xfId="6303"/>
    <cellStyle name="Comma 3 2 5 2 2 3 6 2" xfId="36105"/>
    <cellStyle name="Comma 3 2 5 2 2 3 7" xfId="6304"/>
    <cellStyle name="Comma 3 2 5 2 2 4" xfId="6305"/>
    <cellStyle name="Comma 3 2 5 2 2 4 2" xfId="6306"/>
    <cellStyle name="Comma 3 2 5 2 2 4 2 2" xfId="6307"/>
    <cellStyle name="Comma 3 2 5 2 2 4 2 2 2" xfId="6308"/>
    <cellStyle name="Comma 3 2 5 2 2 4 2 3" xfId="6309"/>
    <cellStyle name="Comma 3 2 5 2 2 4 3" xfId="6310"/>
    <cellStyle name="Comma 3 2 5 2 2 4 3 2" xfId="6311"/>
    <cellStyle name="Comma 3 2 5 2 2 4 4" xfId="6312"/>
    <cellStyle name="Comma 3 2 5 2 2 5" xfId="6313"/>
    <cellStyle name="Comma 3 2 5 2 2 5 2" xfId="6314"/>
    <cellStyle name="Comma 3 2 5 2 2 5 2 2" xfId="6315"/>
    <cellStyle name="Comma 3 2 5 2 2 5 3" xfId="6316"/>
    <cellStyle name="Comma 3 2 5 2 2 6" xfId="6317"/>
    <cellStyle name="Comma 3 2 5 2 2 6 2" xfId="6318"/>
    <cellStyle name="Comma 3 2 5 2 2 6 2 2" xfId="6319"/>
    <cellStyle name="Comma 3 2 5 2 2 6 3" xfId="6320"/>
    <cellStyle name="Comma 3 2 5 2 2 7" xfId="6321"/>
    <cellStyle name="Comma 3 2 5 2 2 7 2" xfId="6322"/>
    <cellStyle name="Comma 3 2 5 2 2 8" xfId="6323"/>
    <cellStyle name="Comma 3 2 5 2 2 8 2" xfId="36106"/>
    <cellStyle name="Comma 3 2 5 2 2 9" xfId="6324"/>
    <cellStyle name="Comma 3 2 5 2 3" xfId="6325"/>
    <cellStyle name="Comma 3 2 5 2 3 2" xfId="6326"/>
    <cellStyle name="Comma 3 2 5 2 3 2 2" xfId="6327"/>
    <cellStyle name="Comma 3 2 5 2 3 2 2 2" xfId="6328"/>
    <cellStyle name="Comma 3 2 5 2 3 2 2 2 2" xfId="6329"/>
    <cellStyle name="Comma 3 2 5 2 3 2 2 2 3" xfId="6330"/>
    <cellStyle name="Comma 3 2 5 2 3 2 2 3" xfId="6331"/>
    <cellStyle name="Comma 3 2 5 2 3 2 2 3 2" xfId="6332"/>
    <cellStyle name="Comma 3 2 5 2 3 2 2 4" xfId="6333"/>
    <cellStyle name="Comma 3 2 5 2 3 2 3" xfId="6334"/>
    <cellStyle name="Comma 3 2 5 2 3 2 3 2" xfId="6335"/>
    <cellStyle name="Comma 3 2 5 2 3 2 3 2 2" xfId="6336"/>
    <cellStyle name="Comma 3 2 5 2 3 2 3 3" xfId="6337"/>
    <cellStyle name="Comma 3 2 5 2 3 2 4" xfId="6338"/>
    <cellStyle name="Comma 3 2 5 2 3 2 4 2" xfId="6339"/>
    <cellStyle name="Comma 3 2 5 2 3 2 4 3" xfId="6340"/>
    <cellStyle name="Comma 3 2 5 2 3 2 5" xfId="6341"/>
    <cellStyle name="Comma 3 2 5 2 3 2 5 2" xfId="6342"/>
    <cellStyle name="Comma 3 2 5 2 3 2 6" xfId="6343"/>
    <cellStyle name="Comma 3 2 5 2 3 2 6 2" xfId="36107"/>
    <cellStyle name="Comma 3 2 5 2 3 2 7" xfId="6344"/>
    <cellStyle name="Comma 3 2 5 2 3 3" xfId="6345"/>
    <cellStyle name="Comma 3 2 5 2 3 3 2" xfId="6346"/>
    <cellStyle name="Comma 3 2 5 2 3 3 2 2" xfId="6347"/>
    <cellStyle name="Comma 3 2 5 2 3 3 2 2 2" xfId="6348"/>
    <cellStyle name="Comma 3 2 5 2 3 3 2 3" xfId="6349"/>
    <cellStyle name="Comma 3 2 5 2 3 3 3" xfId="6350"/>
    <cellStyle name="Comma 3 2 5 2 3 3 3 2" xfId="6351"/>
    <cellStyle name="Comma 3 2 5 2 3 3 4" xfId="6352"/>
    <cellStyle name="Comma 3 2 5 2 3 4" xfId="6353"/>
    <cellStyle name="Comma 3 2 5 2 3 4 2" xfId="6354"/>
    <cellStyle name="Comma 3 2 5 2 3 4 2 2" xfId="6355"/>
    <cellStyle name="Comma 3 2 5 2 3 4 3" xfId="6356"/>
    <cellStyle name="Comma 3 2 5 2 3 5" xfId="6357"/>
    <cellStyle name="Comma 3 2 5 2 3 5 2" xfId="6358"/>
    <cellStyle name="Comma 3 2 5 2 3 5 2 2" xfId="6359"/>
    <cellStyle name="Comma 3 2 5 2 3 5 3" xfId="6360"/>
    <cellStyle name="Comma 3 2 5 2 3 6" xfId="6361"/>
    <cellStyle name="Comma 3 2 5 2 3 6 2" xfId="6362"/>
    <cellStyle name="Comma 3 2 5 2 3 7" xfId="6363"/>
    <cellStyle name="Comma 3 2 5 2 3 7 2" xfId="36108"/>
    <cellStyle name="Comma 3 2 5 2 3 8" xfId="6364"/>
    <cellStyle name="Comma 3 2 5 2 4" xfId="6365"/>
    <cellStyle name="Comma 3 2 5 2 4 2" xfId="6366"/>
    <cellStyle name="Comma 3 2 5 2 4 2 2" xfId="6367"/>
    <cellStyle name="Comma 3 2 5 2 4 2 2 2" xfId="6368"/>
    <cellStyle name="Comma 3 2 5 2 4 2 2 3" xfId="6369"/>
    <cellStyle name="Comma 3 2 5 2 4 2 3" xfId="6370"/>
    <cellStyle name="Comma 3 2 5 2 4 2 3 2" xfId="6371"/>
    <cellStyle name="Comma 3 2 5 2 4 2 4" xfId="6372"/>
    <cellStyle name="Comma 3 2 5 2 4 3" xfId="6373"/>
    <cellStyle name="Comma 3 2 5 2 4 3 2" xfId="6374"/>
    <cellStyle name="Comma 3 2 5 2 4 3 2 2" xfId="6375"/>
    <cellStyle name="Comma 3 2 5 2 4 3 3" xfId="6376"/>
    <cellStyle name="Comma 3 2 5 2 4 4" xfId="6377"/>
    <cellStyle name="Comma 3 2 5 2 4 4 2" xfId="6378"/>
    <cellStyle name="Comma 3 2 5 2 4 4 3" xfId="6379"/>
    <cellStyle name="Comma 3 2 5 2 4 5" xfId="6380"/>
    <cellStyle name="Comma 3 2 5 2 4 5 2" xfId="6381"/>
    <cellStyle name="Comma 3 2 5 2 4 6" xfId="6382"/>
    <cellStyle name="Comma 3 2 5 2 4 6 2" xfId="36109"/>
    <cellStyle name="Comma 3 2 5 2 4 7" xfId="6383"/>
    <cellStyle name="Comma 3 2 5 2 5" xfId="6384"/>
    <cellStyle name="Comma 3 2 5 2 5 2" xfId="6385"/>
    <cellStyle name="Comma 3 2 5 2 5 2 2" xfId="6386"/>
    <cellStyle name="Comma 3 2 5 2 5 2 2 2" xfId="6387"/>
    <cellStyle name="Comma 3 2 5 2 5 2 3" xfId="6388"/>
    <cellStyle name="Comma 3 2 5 2 5 3" xfId="6389"/>
    <cellStyle name="Comma 3 2 5 2 5 3 2" xfId="6390"/>
    <cellStyle name="Comma 3 2 5 2 5 4" xfId="6391"/>
    <cellStyle name="Comma 3 2 5 2 6" xfId="6392"/>
    <cellStyle name="Comma 3 2 5 2 6 2" xfId="6393"/>
    <cellStyle name="Comma 3 2 5 2 6 2 2" xfId="6394"/>
    <cellStyle name="Comma 3 2 5 2 6 3" xfId="6395"/>
    <cellStyle name="Comma 3 2 5 2 7" xfId="6396"/>
    <cellStyle name="Comma 3 2 5 2 7 2" xfId="6397"/>
    <cellStyle name="Comma 3 2 5 2 7 2 2" xfId="6398"/>
    <cellStyle name="Comma 3 2 5 2 7 3" xfId="6399"/>
    <cellStyle name="Comma 3 2 5 2 8" xfId="6400"/>
    <cellStyle name="Comma 3 2 5 2 8 2" xfId="6401"/>
    <cellStyle name="Comma 3 2 5 2 9" xfId="6402"/>
    <cellStyle name="Comma 3 2 5 2 9 2" xfId="36110"/>
    <cellStyle name="Comma 3 2 5 3" xfId="6403"/>
    <cellStyle name="Comma 3 2 5 3 2" xfId="6404"/>
    <cellStyle name="Comma 3 2 5 3 2 2" xfId="6405"/>
    <cellStyle name="Comma 3 2 5 3 2 2 2" xfId="6406"/>
    <cellStyle name="Comma 3 2 5 3 2 2 2 2" xfId="6407"/>
    <cellStyle name="Comma 3 2 5 3 2 2 2 2 2" xfId="6408"/>
    <cellStyle name="Comma 3 2 5 3 2 2 2 2 3" xfId="6409"/>
    <cellStyle name="Comma 3 2 5 3 2 2 2 3" xfId="6410"/>
    <cellStyle name="Comma 3 2 5 3 2 2 2 3 2" xfId="6411"/>
    <cellStyle name="Comma 3 2 5 3 2 2 2 4" xfId="6412"/>
    <cellStyle name="Comma 3 2 5 3 2 2 3" xfId="6413"/>
    <cellStyle name="Comma 3 2 5 3 2 2 3 2" xfId="6414"/>
    <cellStyle name="Comma 3 2 5 3 2 2 3 2 2" xfId="6415"/>
    <cellStyle name="Comma 3 2 5 3 2 2 3 3" xfId="6416"/>
    <cellStyle name="Comma 3 2 5 3 2 2 4" xfId="6417"/>
    <cellStyle name="Comma 3 2 5 3 2 2 4 2" xfId="6418"/>
    <cellStyle name="Comma 3 2 5 3 2 2 4 3" xfId="6419"/>
    <cellStyle name="Comma 3 2 5 3 2 2 5" xfId="6420"/>
    <cellStyle name="Comma 3 2 5 3 2 2 5 2" xfId="6421"/>
    <cellStyle name="Comma 3 2 5 3 2 2 6" xfId="6422"/>
    <cellStyle name="Comma 3 2 5 3 2 2 6 2" xfId="36111"/>
    <cellStyle name="Comma 3 2 5 3 2 2 7" xfId="6423"/>
    <cellStyle name="Comma 3 2 5 3 2 3" xfId="6424"/>
    <cellStyle name="Comma 3 2 5 3 2 3 2" xfId="6425"/>
    <cellStyle name="Comma 3 2 5 3 2 3 2 2" xfId="6426"/>
    <cellStyle name="Comma 3 2 5 3 2 3 2 2 2" xfId="6427"/>
    <cellStyle name="Comma 3 2 5 3 2 3 2 3" xfId="6428"/>
    <cellStyle name="Comma 3 2 5 3 2 3 3" xfId="6429"/>
    <cellStyle name="Comma 3 2 5 3 2 3 3 2" xfId="6430"/>
    <cellStyle name="Comma 3 2 5 3 2 3 4" xfId="6431"/>
    <cellStyle name="Comma 3 2 5 3 2 4" xfId="6432"/>
    <cellStyle name="Comma 3 2 5 3 2 4 2" xfId="6433"/>
    <cellStyle name="Comma 3 2 5 3 2 4 2 2" xfId="6434"/>
    <cellStyle name="Comma 3 2 5 3 2 4 3" xfId="6435"/>
    <cellStyle name="Comma 3 2 5 3 2 5" xfId="6436"/>
    <cellStyle name="Comma 3 2 5 3 2 5 2" xfId="6437"/>
    <cellStyle name="Comma 3 2 5 3 2 5 2 2" xfId="6438"/>
    <cellStyle name="Comma 3 2 5 3 2 5 3" xfId="6439"/>
    <cellStyle name="Comma 3 2 5 3 2 6" xfId="6440"/>
    <cellStyle name="Comma 3 2 5 3 2 6 2" xfId="6441"/>
    <cellStyle name="Comma 3 2 5 3 2 7" xfId="6442"/>
    <cellStyle name="Comma 3 2 5 3 2 7 2" xfId="36112"/>
    <cellStyle name="Comma 3 2 5 3 2 8" xfId="6443"/>
    <cellStyle name="Comma 3 2 5 3 3" xfId="6444"/>
    <cellStyle name="Comma 3 2 5 3 3 2" xfId="6445"/>
    <cellStyle name="Comma 3 2 5 3 3 2 2" xfId="6446"/>
    <cellStyle name="Comma 3 2 5 3 3 2 2 2" xfId="6447"/>
    <cellStyle name="Comma 3 2 5 3 3 2 2 3" xfId="6448"/>
    <cellStyle name="Comma 3 2 5 3 3 2 3" xfId="6449"/>
    <cellStyle name="Comma 3 2 5 3 3 2 3 2" xfId="6450"/>
    <cellStyle name="Comma 3 2 5 3 3 2 4" xfId="6451"/>
    <cellStyle name="Comma 3 2 5 3 3 3" xfId="6452"/>
    <cellStyle name="Comma 3 2 5 3 3 3 2" xfId="6453"/>
    <cellStyle name="Comma 3 2 5 3 3 3 2 2" xfId="6454"/>
    <cellStyle name="Comma 3 2 5 3 3 3 3" xfId="6455"/>
    <cellStyle name="Comma 3 2 5 3 3 4" xfId="6456"/>
    <cellStyle name="Comma 3 2 5 3 3 4 2" xfId="6457"/>
    <cellStyle name="Comma 3 2 5 3 3 4 3" xfId="6458"/>
    <cellStyle name="Comma 3 2 5 3 3 5" xfId="6459"/>
    <cellStyle name="Comma 3 2 5 3 3 5 2" xfId="6460"/>
    <cellStyle name="Comma 3 2 5 3 3 6" xfId="6461"/>
    <cellStyle name="Comma 3 2 5 3 3 6 2" xfId="36113"/>
    <cellStyle name="Comma 3 2 5 3 3 7" xfId="6462"/>
    <cellStyle name="Comma 3 2 5 3 4" xfId="6463"/>
    <cellStyle name="Comma 3 2 5 3 4 2" xfId="6464"/>
    <cellStyle name="Comma 3 2 5 3 4 2 2" xfId="6465"/>
    <cellStyle name="Comma 3 2 5 3 4 2 2 2" xfId="6466"/>
    <cellStyle name="Comma 3 2 5 3 4 2 3" xfId="6467"/>
    <cellStyle name="Comma 3 2 5 3 4 3" xfId="6468"/>
    <cellStyle name="Comma 3 2 5 3 4 3 2" xfId="6469"/>
    <cellStyle name="Comma 3 2 5 3 4 4" xfId="6470"/>
    <cellStyle name="Comma 3 2 5 3 5" xfId="6471"/>
    <cellStyle name="Comma 3 2 5 3 5 2" xfId="6472"/>
    <cellStyle name="Comma 3 2 5 3 5 2 2" xfId="6473"/>
    <cellStyle name="Comma 3 2 5 3 5 3" xfId="6474"/>
    <cellStyle name="Comma 3 2 5 3 6" xfId="6475"/>
    <cellStyle name="Comma 3 2 5 3 6 2" xfId="6476"/>
    <cellStyle name="Comma 3 2 5 3 6 2 2" xfId="6477"/>
    <cellStyle name="Comma 3 2 5 3 6 3" xfId="6478"/>
    <cellStyle name="Comma 3 2 5 3 7" xfId="6479"/>
    <cellStyle name="Comma 3 2 5 3 7 2" xfId="6480"/>
    <cellStyle name="Comma 3 2 5 3 8" xfId="6481"/>
    <cellStyle name="Comma 3 2 5 3 8 2" xfId="36114"/>
    <cellStyle name="Comma 3 2 5 3 9" xfId="6482"/>
    <cellStyle name="Comma 3 2 5 4" xfId="6483"/>
    <cellStyle name="Comma 3 2 5 4 2" xfId="6484"/>
    <cellStyle name="Comma 3 2 5 4 2 2" xfId="6485"/>
    <cellStyle name="Comma 3 2 5 4 2 2 2" xfId="6486"/>
    <cellStyle name="Comma 3 2 5 4 2 2 2 2" xfId="6487"/>
    <cellStyle name="Comma 3 2 5 4 2 2 2 3" xfId="6488"/>
    <cellStyle name="Comma 3 2 5 4 2 2 3" xfId="6489"/>
    <cellStyle name="Comma 3 2 5 4 2 2 3 2" xfId="6490"/>
    <cellStyle name="Comma 3 2 5 4 2 2 4" xfId="6491"/>
    <cellStyle name="Comma 3 2 5 4 2 3" xfId="6492"/>
    <cellStyle name="Comma 3 2 5 4 2 3 2" xfId="6493"/>
    <cellStyle name="Comma 3 2 5 4 2 3 2 2" xfId="6494"/>
    <cellStyle name="Comma 3 2 5 4 2 3 3" xfId="6495"/>
    <cellStyle name="Comma 3 2 5 4 2 4" xfId="6496"/>
    <cellStyle name="Comma 3 2 5 4 2 4 2" xfId="6497"/>
    <cellStyle name="Comma 3 2 5 4 2 4 3" xfId="6498"/>
    <cellStyle name="Comma 3 2 5 4 2 5" xfId="6499"/>
    <cellStyle name="Comma 3 2 5 4 2 5 2" xfId="6500"/>
    <cellStyle name="Comma 3 2 5 4 2 6" xfId="6501"/>
    <cellStyle name="Comma 3 2 5 4 2 6 2" xfId="36115"/>
    <cellStyle name="Comma 3 2 5 4 2 7" xfId="6502"/>
    <cellStyle name="Comma 3 2 5 4 3" xfId="6503"/>
    <cellStyle name="Comma 3 2 5 4 3 2" xfId="6504"/>
    <cellStyle name="Comma 3 2 5 4 3 2 2" xfId="6505"/>
    <cellStyle name="Comma 3 2 5 4 3 2 2 2" xfId="6506"/>
    <cellStyle name="Comma 3 2 5 4 3 2 3" xfId="6507"/>
    <cellStyle name="Comma 3 2 5 4 3 3" xfId="6508"/>
    <cellStyle name="Comma 3 2 5 4 3 3 2" xfId="6509"/>
    <cellStyle name="Comma 3 2 5 4 3 4" xfId="6510"/>
    <cellStyle name="Comma 3 2 5 4 4" xfId="6511"/>
    <cellStyle name="Comma 3 2 5 4 4 2" xfId="6512"/>
    <cellStyle name="Comma 3 2 5 4 4 2 2" xfId="6513"/>
    <cellStyle name="Comma 3 2 5 4 4 3" xfId="6514"/>
    <cellStyle name="Comma 3 2 5 4 5" xfId="6515"/>
    <cellStyle name="Comma 3 2 5 4 5 2" xfId="6516"/>
    <cellStyle name="Comma 3 2 5 4 5 2 2" xfId="6517"/>
    <cellStyle name="Comma 3 2 5 4 5 3" xfId="6518"/>
    <cellStyle name="Comma 3 2 5 4 6" xfId="6519"/>
    <cellStyle name="Comma 3 2 5 4 6 2" xfId="6520"/>
    <cellStyle name="Comma 3 2 5 4 7" xfId="6521"/>
    <cellStyle name="Comma 3 2 5 4 7 2" xfId="36116"/>
    <cellStyle name="Comma 3 2 5 4 8" xfId="6522"/>
    <cellStyle name="Comma 3 2 5 5" xfId="6523"/>
    <cellStyle name="Comma 3 2 5 5 2" xfId="6524"/>
    <cellStyle name="Comma 3 2 5 5 2 2" xfId="6525"/>
    <cellStyle name="Comma 3 2 5 5 2 2 2" xfId="6526"/>
    <cellStyle name="Comma 3 2 5 5 2 2 2 2" xfId="6527"/>
    <cellStyle name="Comma 3 2 5 5 2 2 2 3" xfId="6528"/>
    <cellStyle name="Comma 3 2 5 5 2 2 3" xfId="6529"/>
    <cellStyle name="Comma 3 2 5 5 2 2 3 2" xfId="6530"/>
    <cellStyle name="Comma 3 2 5 5 2 2 4" xfId="6531"/>
    <cellStyle name="Comma 3 2 5 5 2 3" xfId="6532"/>
    <cellStyle name="Comma 3 2 5 5 2 3 2" xfId="6533"/>
    <cellStyle name="Comma 3 2 5 5 2 3 2 2" xfId="6534"/>
    <cellStyle name="Comma 3 2 5 5 2 3 3" xfId="6535"/>
    <cellStyle name="Comma 3 2 5 5 2 4" xfId="6536"/>
    <cellStyle name="Comma 3 2 5 5 2 4 2" xfId="6537"/>
    <cellStyle name="Comma 3 2 5 5 2 4 3" xfId="6538"/>
    <cellStyle name="Comma 3 2 5 5 2 5" xfId="6539"/>
    <cellStyle name="Comma 3 2 5 5 2 5 2" xfId="6540"/>
    <cellStyle name="Comma 3 2 5 5 2 6" xfId="6541"/>
    <cellStyle name="Comma 3 2 5 5 2 6 2" xfId="36117"/>
    <cellStyle name="Comma 3 2 5 5 2 7" xfId="6542"/>
    <cellStyle name="Comma 3 2 5 5 3" xfId="6543"/>
    <cellStyle name="Comma 3 2 5 5 3 2" xfId="6544"/>
    <cellStyle name="Comma 3 2 5 5 3 2 2" xfId="6545"/>
    <cellStyle name="Comma 3 2 5 5 3 2 2 2" xfId="6546"/>
    <cellStyle name="Comma 3 2 5 5 3 2 3" xfId="6547"/>
    <cellStyle name="Comma 3 2 5 5 3 3" xfId="6548"/>
    <cellStyle name="Comma 3 2 5 5 3 3 2" xfId="6549"/>
    <cellStyle name="Comma 3 2 5 5 3 4" xfId="6550"/>
    <cellStyle name="Comma 3 2 5 5 4" xfId="6551"/>
    <cellStyle name="Comma 3 2 5 5 4 2" xfId="6552"/>
    <cellStyle name="Comma 3 2 5 5 4 2 2" xfId="6553"/>
    <cellStyle name="Comma 3 2 5 5 4 3" xfId="6554"/>
    <cellStyle name="Comma 3 2 5 5 5" xfId="6555"/>
    <cellStyle name="Comma 3 2 5 5 5 2" xfId="6556"/>
    <cellStyle name="Comma 3 2 5 5 5 2 2" xfId="6557"/>
    <cellStyle name="Comma 3 2 5 5 5 3" xfId="6558"/>
    <cellStyle name="Comma 3 2 5 5 6" xfId="6559"/>
    <cellStyle name="Comma 3 2 5 5 6 2" xfId="6560"/>
    <cellStyle name="Comma 3 2 5 5 7" xfId="6561"/>
    <cellStyle name="Comma 3 2 5 5 7 2" xfId="36118"/>
    <cellStyle name="Comma 3 2 5 5 8" xfId="6562"/>
    <cellStyle name="Comma 3 2 5 6" xfId="6563"/>
    <cellStyle name="Comma 3 2 5 6 2" xfId="6564"/>
    <cellStyle name="Comma 3 2 5 6 2 2" xfId="6565"/>
    <cellStyle name="Comma 3 2 5 6 2 2 2" xfId="6566"/>
    <cellStyle name="Comma 3 2 5 6 2 2 3" xfId="6567"/>
    <cellStyle name="Comma 3 2 5 6 2 3" xfId="6568"/>
    <cellStyle name="Comma 3 2 5 6 2 3 2" xfId="6569"/>
    <cellStyle name="Comma 3 2 5 6 2 4" xfId="6570"/>
    <cellStyle name="Comma 3 2 5 6 3" xfId="6571"/>
    <cellStyle name="Comma 3 2 5 6 3 2" xfId="6572"/>
    <cellStyle name="Comma 3 2 5 6 3 2 2" xfId="6573"/>
    <cellStyle name="Comma 3 2 5 6 3 3" xfId="6574"/>
    <cellStyle name="Comma 3 2 5 6 4" xfId="6575"/>
    <cellStyle name="Comma 3 2 5 6 4 2" xfId="6576"/>
    <cellStyle name="Comma 3 2 5 6 4 3" xfId="6577"/>
    <cellStyle name="Comma 3 2 5 6 5" xfId="6578"/>
    <cellStyle name="Comma 3 2 5 6 5 2" xfId="6579"/>
    <cellStyle name="Comma 3 2 5 6 6" xfId="6580"/>
    <cellStyle name="Comma 3 2 5 6 6 2" xfId="36119"/>
    <cellStyle name="Comma 3 2 5 6 7" xfId="6581"/>
    <cellStyle name="Comma 3 2 5 7" xfId="6582"/>
    <cellStyle name="Comma 3 2 5 7 2" xfId="6583"/>
    <cellStyle name="Comma 3 2 5 7 2 2" xfId="6584"/>
    <cellStyle name="Comma 3 2 5 7 2 2 2" xfId="6585"/>
    <cellStyle name="Comma 3 2 5 7 2 3" xfId="6586"/>
    <cellStyle name="Comma 3 2 5 7 3" xfId="6587"/>
    <cellStyle name="Comma 3 2 5 7 3 2" xfId="6588"/>
    <cellStyle name="Comma 3 2 5 7 4" xfId="6589"/>
    <cellStyle name="Comma 3 2 5 8" xfId="6590"/>
    <cellStyle name="Comma 3 2 5 8 2" xfId="6591"/>
    <cellStyle name="Comma 3 2 5 8 2 2" xfId="6592"/>
    <cellStyle name="Comma 3 2 5 8 3" xfId="6593"/>
    <cellStyle name="Comma 3 2 5 9" xfId="6594"/>
    <cellStyle name="Comma 3 2 5 9 2" xfId="6595"/>
    <cellStyle name="Comma 3 2 5 9 2 2" xfId="6596"/>
    <cellStyle name="Comma 3 2 5 9 3" xfId="6597"/>
    <cellStyle name="Comma 3 2 6" xfId="6598"/>
    <cellStyle name="Comma 3 2 6 10" xfId="6599"/>
    <cellStyle name="Comma 3 2 6 2" xfId="6600"/>
    <cellStyle name="Comma 3 2 6 2 2" xfId="6601"/>
    <cellStyle name="Comma 3 2 6 2 2 2" xfId="6602"/>
    <cellStyle name="Comma 3 2 6 2 2 2 2" xfId="6603"/>
    <cellStyle name="Comma 3 2 6 2 2 2 2 2" xfId="6604"/>
    <cellStyle name="Comma 3 2 6 2 2 2 2 2 2" xfId="6605"/>
    <cellStyle name="Comma 3 2 6 2 2 2 2 2 3" xfId="6606"/>
    <cellStyle name="Comma 3 2 6 2 2 2 2 3" xfId="6607"/>
    <cellStyle name="Comma 3 2 6 2 2 2 2 3 2" xfId="6608"/>
    <cellStyle name="Comma 3 2 6 2 2 2 2 4" xfId="6609"/>
    <cellStyle name="Comma 3 2 6 2 2 2 3" xfId="6610"/>
    <cellStyle name="Comma 3 2 6 2 2 2 3 2" xfId="6611"/>
    <cellStyle name="Comma 3 2 6 2 2 2 3 2 2" xfId="6612"/>
    <cellStyle name="Comma 3 2 6 2 2 2 3 3" xfId="6613"/>
    <cellStyle name="Comma 3 2 6 2 2 2 4" xfId="6614"/>
    <cellStyle name="Comma 3 2 6 2 2 2 4 2" xfId="6615"/>
    <cellStyle name="Comma 3 2 6 2 2 2 4 3" xfId="6616"/>
    <cellStyle name="Comma 3 2 6 2 2 2 5" xfId="6617"/>
    <cellStyle name="Comma 3 2 6 2 2 2 5 2" xfId="6618"/>
    <cellStyle name="Comma 3 2 6 2 2 2 6" xfId="6619"/>
    <cellStyle name="Comma 3 2 6 2 2 2 6 2" xfId="36120"/>
    <cellStyle name="Comma 3 2 6 2 2 2 7" xfId="6620"/>
    <cellStyle name="Comma 3 2 6 2 2 3" xfId="6621"/>
    <cellStyle name="Comma 3 2 6 2 2 3 2" xfId="6622"/>
    <cellStyle name="Comma 3 2 6 2 2 3 2 2" xfId="6623"/>
    <cellStyle name="Comma 3 2 6 2 2 3 2 2 2" xfId="6624"/>
    <cellStyle name="Comma 3 2 6 2 2 3 2 3" xfId="6625"/>
    <cellStyle name="Comma 3 2 6 2 2 3 3" xfId="6626"/>
    <cellStyle name="Comma 3 2 6 2 2 3 3 2" xfId="6627"/>
    <cellStyle name="Comma 3 2 6 2 2 3 4" xfId="6628"/>
    <cellStyle name="Comma 3 2 6 2 2 4" xfId="6629"/>
    <cellStyle name="Comma 3 2 6 2 2 4 2" xfId="6630"/>
    <cellStyle name="Comma 3 2 6 2 2 4 2 2" xfId="6631"/>
    <cellStyle name="Comma 3 2 6 2 2 4 3" xfId="6632"/>
    <cellStyle name="Comma 3 2 6 2 2 5" xfId="6633"/>
    <cellStyle name="Comma 3 2 6 2 2 5 2" xfId="6634"/>
    <cellStyle name="Comma 3 2 6 2 2 5 2 2" xfId="6635"/>
    <cellStyle name="Comma 3 2 6 2 2 5 3" xfId="6636"/>
    <cellStyle name="Comma 3 2 6 2 2 6" xfId="6637"/>
    <cellStyle name="Comma 3 2 6 2 2 6 2" xfId="6638"/>
    <cellStyle name="Comma 3 2 6 2 2 7" xfId="6639"/>
    <cellStyle name="Comma 3 2 6 2 2 7 2" xfId="36121"/>
    <cellStyle name="Comma 3 2 6 2 2 8" xfId="6640"/>
    <cellStyle name="Comma 3 2 6 2 3" xfId="6641"/>
    <cellStyle name="Comma 3 2 6 2 3 2" xfId="6642"/>
    <cellStyle name="Comma 3 2 6 2 3 2 2" xfId="6643"/>
    <cellStyle name="Comma 3 2 6 2 3 2 2 2" xfId="6644"/>
    <cellStyle name="Comma 3 2 6 2 3 2 2 3" xfId="6645"/>
    <cellStyle name="Comma 3 2 6 2 3 2 3" xfId="6646"/>
    <cellStyle name="Comma 3 2 6 2 3 2 3 2" xfId="6647"/>
    <cellStyle name="Comma 3 2 6 2 3 2 4" xfId="6648"/>
    <cellStyle name="Comma 3 2 6 2 3 3" xfId="6649"/>
    <cellStyle name="Comma 3 2 6 2 3 3 2" xfId="6650"/>
    <cellStyle name="Comma 3 2 6 2 3 3 2 2" xfId="6651"/>
    <cellStyle name="Comma 3 2 6 2 3 3 3" xfId="6652"/>
    <cellStyle name="Comma 3 2 6 2 3 4" xfId="6653"/>
    <cellStyle name="Comma 3 2 6 2 3 4 2" xfId="6654"/>
    <cellStyle name="Comma 3 2 6 2 3 4 3" xfId="6655"/>
    <cellStyle name="Comma 3 2 6 2 3 5" xfId="6656"/>
    <cellStyle name="Comma 3 2 6 2 3 5 2" xfId="6657"/>
    <cellStyle name="Comma 3 2 6 2 3 6" xfId="6658"/>
    <cellStyle name="Comma 3 2 6 2 3 6 2" xfId="36122"/>
    <cellStyle name="Comma 3 2 6 2 3 7" xfId="6659"/>
    <cellStyle name="Comma 3 2 6 2 4" xfId="6660"/>
    <cellStyle name="Comma 3 2 6 2 4 2" xfId="6661"/>
    <cellStyle name="Comma 3 2 6 2 4 2 2" xfId="6662"/>
    <cellStyle name="Comma 3 2 6 2 4 2 2 2" xfId="6663"/>
    <cellStyle name="Comma 3 2 6 2 4 2 3" xfId="6664"/>
    <cellStyle name="Comma 3 2 6 2 4 3" xfId="6665"/>
    <cellStyle name="Comma 3 2 6 2 4 3 2" xfId="6666"/>
    <cellStyle name="Comma 3 2 6 2 4 4" xfId="6667"/>
    <cellStyle name="Comma 3 2 6 2 5" xfId="6668"/>
    <cellStyle name="Comma 3 2 6 2 5 2" xfId="6669"/>
    <cellStyle name="Comma 3 2 6 2 5 2 2" xfId="6670"/>
    <cellStyle name="Comma 3 2 6 2 5 3" xfId="6671"/>
    <cellStyle name="Comma 3 2 6 2 6" xfId="6672"/>
    <cellStyle name="Comma 3 2 6 2 6 2" xfId="6673"/>
    <cellStyle name="Comma 3 2 6 2 6 2 2" xfId="6674"/>
    <cellStyle name="Comma 3 2 6 2 6 3" xfId="6675"/>
    <cellStyle name="Comma 3 2 6 2 7" xfId="6676"/>
    <cellStyle name="Comma 3 2 6 2 7 2" xfId="6677"/>
    <cellStyle name="Comma 3 2 6 2 8" xfId="6678"/>
    <cellStyle name="Comma 3 2 6 2 8 2" xfId="36123"/>
    <cellStyle name="Comma 3 2 6 2 9" xfId="6679"/>
    <cellStyle name="Comma 3 2 6 3" xfId="6680"/>
    <cellStyle name="Comma 3 2 6 3 2" xfId="6681"/>
    <cellStyle name="Comma 3 2 6 3 2 2" xfId="6682"/>
    <cellStyle name="Comma 3 2 6 3 2 2 2" xfId="6683"/>
    <cellStyle name="Comma 3 2 6 3 2 2 2 2" xfId="6684"/>
    <cellStyle name="Comma 3 2 6 3 2 2 2 3" xfId="6685"/>
    <cellStyle name="Comma 3 2 6 3 2 2 3" xfId="6686"/>
    <cellStyle name="Comma 3 2 6 3 2 2 3 2" xfId="6687"/>
    <cellStyle name="Comma 3 2 6 3 2 2 4" xfId="6688"/>
    <cellStyle name="Comma 3 2 6 3 2 3" xfId="6689"/>
    <cellStyle name="Comma 3 2 6 3 2 3 2" xfId="6690"/>
    <cellStyle name="Comma 3 2 6 3 2 3 2 2" xfId="6691"/>
    <cellStyle name="Comma 3 2 6 3 2 3 3" xfId="6692"/>
    <cellStyle name="Comma 3 2 6 3 2 4" xfId="6693"/>
    <cellStyle name="Comma 3 2 6 3 2 4 2" xfId="6694"/>
    <cellStyle name="Comma 3 2 6 3 2 4 3" xfId="6695"/>
    <cellStyle name="Comma 3 2 6 3 2 5" xfId="6696"/>
    <cellStyle name="Comma 3 2 6 3 2 5 2" xfId="6697"/>
    <cellStyle name="Comma 3 2 6 3 2 6" xfId="6698"/>
    <cellStyle name="Comma 3 2 6 3 2 6 2" xfId="36124"/>
    <cellStyle name="Comma 3 2 6 3 2 7" xfId="6699"/>
    <cellStyle name="Comma 3 2 6 3 3" xfId="6700"/>
    <cellStyle name="Comma 3 2 6 3 3 2" xfId="6701"/>
    <cellStyle name="Comma 3 2 6 3 3 2 2" xfId="6702"/>
    <cellStyle name="Comma 3 2 6 3 3 2 2 2" xfId="6703"/>
    <cellStyle name="Comma 3 2 6 3 3 2 3" xfId="6704"/>
    <cellStyle name="Comma 3 2 6 3 3 3" xfId="6705"/>
    <cellStyle name="Comma 3 2 6 3 3 3 2" xfId="6706"/>
    <cellStyle name="Comma 3 2 6 3 3 4" xfId="6707"/>
    <cellStyle name="Comma 3 2 6 3 4" xfId="6708"/>
    <cellStyle name="Comma 3 2 6 3 4 2" xfId="6709"/>
    <cellStyle name="Comma 3 2 6 3 4 2 2" xfId="6710"/>
    <cellStyle name="Comma 3 2 6 3 4 3" xfId="6711"/>
    <cellStyle name="Comma 3 2 6 3 5" xfId="6712"/>
    <cellStyle name="Comma 3 2 6 3 5 2" xfId="6713"/>
    <cellStyle name="Comma 3 2 6 3 5 2 2" xfId="6714"/>
    <cellStyle name="Comma 3 2 6 3 5 3" xfId="6715"/>
    <cellStyle name="Comma 3 2 6 3 6" xfId="6716"/>
    <cellStyle name="Comma 3 2 6 3 6 2" xfId="6717"/>
    <cellStyle name="Comma 3 2 6 3 7" xfId="6718"/>
    <cellStyle name="Comma 3 2 6 3 7 2" xfId="36125"/>
    <cellStyle name="Comma 3 2 6 3 8" xfId="6719"/>
    <cellStyle name="Comma 3 2 6 4" xfId="6720"/>
    <cellStyle name="Comma 3 2 6 4 2" xfId="6721"/>
    <cellStyle name="Comma 3 2 6 4 2 2" xfId="6722"/>
    <cellStyle name="Comma 3 2 6 4 2 2 2" xfId="6723"/>
    <cellStyle name="Comma 3 2 6 4 2 2 3" xfId="6724"/>
    <cellStyle name="Comma 3 2 6 4 2 3" xfId="6725"/>
    <cellStyle name="Comma 3 2 6 4 2 3 2" xfId="6726"/>
    <cellStyle name="Comma 3 2 6 4 2 4" xfId="6727"/>
    <cellStyle name="Comma 3 2 6 4 3" xfId="6728"/>
    <cellStyle name="Comma 3 2 6 4 3 2" xfId="6729"/>
    <cellStyle name="Comma 3 2 6 4 3 2 2" xfId="6730"/>
    <cellStyle name="Comma 3 2 6 4 3 3" xfId="6731"/>
    <cellStyle name="Comma 3 2 6 4 4" xfId="6732"/>
    <cellStyle name="Comma 3 2 6 4 4 2" xfId="6733"/>
    <cellStyle name="Comma 3 2 6 4 4 3" xfId="6734"/>
    <cellStyle name="Comma 3 2 6 4 5" xfId="6735"/>
    <cellStyle name="Comma 3 2 6 4 5 2" xfId="6736"/>
    <cellStyle name="Comma 3 2 6 4 6" xfId="6737"/>
    <cellStyle name="Comma 3 2 6 4 6 2" xfId="36126"/>
    <cellStyle name="Comma 3 2 6 4 7" xfId="6738"/>
    <cellStyle name="Comma 3 2 6 5" xfId="6739"/>
    <cellStyle name="Comma 3 2 6 5 2" xfId="6740"/>
    <cellStyle name="Comma 3 2 6 5 2 2" xfId="6741"/>
    <cellStyle name="Comma 3 2 6 5 2 2 2" xfId="6742"/>
    <cellStyle name="Comma 3 2 6 5 2 3" xfId="6743"/>
    <cellStyle name="Comma 3 2 6 5 3" xfId="6744"/>
    <cellStyle name="Comma 3 2 6 5 3 2" xfId="6745"/>
    <cellStyle name="Comma 3 2 6 5 4" xfId="6746"/>
    <cellStyle name="Comma 3 2 6 6" xfId="6747"/>
    <cellStyle name="Comma 3 2 6 6 2" xfId="6748"/>
    <cellStyle name="Comma 3 2 6 6 2 2" xfId="6749"/>
    <cellStyle name="Comma 3 2 6 6 3" xfId="6750"/>
    <cellStyle name="Comma 3 2 6 7" xfId="6751"/>
    <cellStyle name="Comma 3 2 6 7 2" xfId="6752"/>
    <cellStyle name="Comma 3 2 6 7 2 2" xfId="6753"/>
    <cellStyle name="Comma 3 2 6 7 3" xfId="6754"/>
    <cellStyle name="Comma 3 2 6 8" xfId="6755"/>
    <cellStyle name="Comma 3 2 6 8 2" xfId="6756"/>
    <cellStyle name="Comma 3 2 6 9" xfId="6757"/>
    <cellStyle name="Comma 3 2 6 9 2" xfId="36127"/>
    <cellStyle name="Comma 3 2 7" xfId="6758"/>
    <cellStyle name="Comma 3 2 7 2" xfId="6759"/>
    <cellStyle name="Comma 3 2 7 2 2" xfId="6760"/>
    <cellStyle name="Comma 3 2 7 2 2 2" xfId="6761"/>
    <cellStyle name="Comma 3 2 7 2 2 2 2" xfId="6762"/>
    <cellStyle name="Comma 3 2 7 2 2 2 2 2" xfId="6763"/>
    <cellStyle name="Comma 3 2 7 2 2 2 2 3" xfId="6764"/>
    <cellStyle name="Comma 3 2 7 2 2 2 3" xfId="6765"/>
    <cellStyle name="Comma 3 2 7 2 2 2 3 2" xfId="6766"/>
    <cellStyle name="Comma 3 2 7 2 2 2 4" xfId="6767"/>
    <cellStyle name="Comma 3 2 7 2 2 3" xfId="6768"/>
    <cellStyle name="Comma 3 2 7 2 2 3 2" xfId="6769"/>
    <cellStyle name="Comma 3 2 7 2 2 3 2 2" xfId="6770"/>
    <cellStyle name="Comma 3 2 7 2 2 3 3" xfId="6771"/>
    <cellStyle name="Comma 3 2 7 2 2 4" xfId="6772"/>
    <cellStyle name="Comma 3 2 7 2 2 4 2" xfId="6773"/>
    <cellStyle name="Comma 3 2 7 2 2 4 3" xfId="6774"/>
    <cellStyle name="Comma 3 2 7 2 2 5" xfId="6775"/>
    <cellStyle name="Comma 3 2 7 2 2 5 2" xfId="6776"/>
    <cellStyle name="Comma 3 2 7 2 2 6" xfId="6777"/>
    <cellStyle name="Comma 3 2 7 2 2 6 2" xfId="36128"/>
    <cellStyle name="Comma 3 2 7 2 2 7" xfId="6778"/>
    <cellStyle name="Comma 3 2 7 2 3" xfId="6779"/>
    <cellStyle name="Comma 3 2 7 2 3 2" xfId="6780"/>
    <cellStyle name="Comma 3 2 7 2 3 2 2" xfId="6781"/>
    <cellStyle name="Comma 3 2 7 2 3 2 2 2" xfId="6782"/>
    <cellStyle name="Comma 3 2 7 2 3 2 3" xfId="6783"/>
    <cellStyle name="Comma 3 2 7 2 3 3" xfId="6784"/>
    <cellStyle name="Comma 3 2 7 2 3 3 2" xfId="6785"/>
    <cellStyle name="Comma 3 2 7 2 3 4" xfId="6786"/>
    <cellStyle name="Comma 3 2 7 2 4" xfId="6787"/>
    <cellStyle name="Comma 3 2 7 2 4 2" xfId="6788"/>
    <cellStyle name="Comma 3 2 7 2 4 2 2" xfId="6789"/>
    <cellStyle name="Comma 3 2 7 2 4 3" xfId="6790"/>
    <cellStyle name="Comma 3 2 7 2 5" xfId="6791"/>
    <cellStyle name="Comma 3 2 7 2 5 2" xfId="6792"/>
    <cellStyle name="Comma 3 2 7 2 5 2 2" xfId="6793"/>
    <cellStyle name="Comma 3 2 7 2 5 3" xfId="6794"/>
    <cellStyle name="Comma 3 2 7 2 6" xfId="6795"/>
    <cellStyle name="Comma 3 2 7 2 6 2" xfId="6796"/>
    <cellStyle name="Comma 3 2 7 2 7" xfId="6797"/>
    <cellStyle name="Comma 3 2 7 2 7 2" xfId="36129"/>
    <cellStyle name="Comma 3 2 7 2 8" xfId="6798"/>
    <cellStyle name="Comma 3 2 7 3" xfId="6799"/>
    <cellStyle name="Comma 3 2 7 3 2" xfId="6800"/>
    <cellStyle name="Comma 3 2 7 3 2 2" xfId="6801"/>
    <cellStyle name="Comma 3 2 7 3 2 2 2" xfId="6802"/>
    <cellStyle name="Comma 3 2 7 3 2 2 3" xfId="6803"/>
    <cellStyle name="Comma 3 2 7 3 2 3" xfId="6804"/>
    <cellStyle name="Comma 3 2 7 3 2 3 2" xfId="6805"/>
    <cellStyle name="Comma 3 2 7 3 2 4" xfId="6806"/>
    <cellStyle name="Comma 3 2 7 3 3" xfId="6807"/>
    <cellStyle name="Comma 3 2 7 3 3 2" xfId="6808"/>
    <cellStyle name="Comma 3 2 7 3 3 2 2" xfId="6809"/>
    <cellStyle name="Comma 3 2 7 3 3 3" xfId="6810"/>
    <cellStyle name="Comma 3 2 7 3 4" xfId="6811"/>
    <cellStyle name="Comma 3 2 7 3 4 2" xfId="6812"/>
    <cellStyle name="Comma 3 2 7 3 4 3" xfId="6813"/>
    <cellStyle name="Comma 3 2 7 3 5" xfId="6814"/>
    <cellStyle name="Comma 3 2 7 3 5 2" xfId="6815"/>
    <cellStyle name="Comma 3 2 7 3 6" xfId="6816"/>
    <cellStyle name="Comma 3 2 7 3 6 2" xfId="36130"/>
    <cellStyle name="Comma 3 2 7 3 7" xfId="6817"/>
    <cellStyle name="Comma 3 2 7 4" xfId="6818"/>
    <cellStyle name="Comma 3 2 7 4 2" xfId="6819"/>
    <cellStyle name="Comma 3 2 7 4 2 2" xfId="6820"/>
    <cellStyle name="Comma 3 2 7 4 2 2 2" xfId="6821"/>
    <cellStyle name="Comma 3 2 7 4 2 3" xfId="6822"/>
    <cellStyle name="Comma 3 2 7 4 3" xfId="6823"/>
    <cellStyle name="Comma 3 2 7 4 3 2" xfId="6824"/>
    <cellStyle name="Comma 3 2 7 4 4" xfId="6825"/>
    <cellStyle name="Comma 3 2 7 5" xfId="6826"/>
    <cellStyle name="Comma 3 2 7 5 2" xfId="6827"/>
    <cellStyle name="Comma 3 2 7 5 2 2" xfId="6828"/>
    <cellStyle name="Comma 3 2 7 5 3" xfId="6829"/>
    <cellStyle name="Comma 3 2 7 6" xfId="6830"/>
    <cellStyle name="Comma 3 2 7 6 2" xfId="6831"/>
    <cellStyle name="Comma 3 2 7 6 2 2" xfId="6832"/>
    <cellStyle name="Comma 3 2 7 6 3" xfId="6833"/>
    <cellStyle name="Comma 3 2 7 7" xfId="6834"/>
    <cellStyle name="Comma 3 2 7 7 2" xfId="6835"/>
    <cellStyle name="Comma 3 2 7 8" xfId="6836"/>
    <cellStyle name="Comma 3 2 7 8 2" xfId="36131"/>
    <cellStyle name="Comma 3 2 7 9" xfId="6837"/>
    <cellStyle name="Comma 3 2 8" xfId="6838"/>
    <cellStyle name="Comma 3 2 8 2" xfId="6839"/>
    <cellStyle name="Comma 3 2 8 2 2" xfId="6840"/>
    <cellStyle name="Comma 3 2 8 2 2 2" xfId="6841"/>
    <cellStyle name="Comma 3 2 8 2 2 2 2" xfId="6842"/>
    <cellStyle name="Comma 3 2 8 2 2 2 2 2" xfId="6843"/>
    <cellStyle name="Comma 3 2 8 2 2 2 2 3" xfId="6844"/>
    <cellStyle name="Comma 3 2 8 2 2 2 3" xfId="6845"/>
    <cellStyle name="Comma 3 2 8 2 2 2 3 2" xfId="6846"/>
    <cellStyle name="Comma 3 2 8 2 2 2 4" xfId="6847"/>
    <cellStyle name="Comma 3 2 8 2 2 3" xfId="6848"/>
    <cellStyle name="Comma 3 2 8 2 2 3 2" xfId="6849"/>
    <cellStyle name="Comma 3 2 8 2 2 3 2 2" xfId="6850"/>
    <cellStyle name="Comma 3 2 8 2 2 3 3" xfId="6851"/>
    <cellStyle name="Comma 3 2 8 2 2 4" xfId="6852"/>
    <cellStyle name="Comma 3 2 8 2 2 4 2" xfId="6853"/>
    <cellStyle name="Comma 3 2 8 2 2 4 3" xfId="6854"/>
    <cellStyle name="Comma 3 2 8 2 2 5" xfId="6855"/>
    <cellStyle name="Comma 3 2 8 2 2 5 2" xfId="6856"/>
    <cellStyle name="Comma 3 2 8 2 2 6" xfId="6857"/>
    <cellStyle name="Comma 3 2 8 2 2 6 2" xfId="36132"/>
    <cellStyle name="Comma 3 2 8 2 2 7" xfId="6858"/>
    <cellStyle name="Comma 3 2 8 2 3" xfId="6859"/>
    <cellStyle name="Comma 3 2 8 2 3 2" xfId="6860"/>
    <cellStyle name="Comma 3 2 8 2 3 2 2" xfId="6861"/>
    <cellStyle name="Comma 3 2 8 2 3 2 2 2" xfId="6862"/>
    <cellStyle name="Comma 3 2 8 2 3 2 3" xfId="6863"/>
    <cellStyle name="Comma 3 2 8 2 3 3" xfId="6864"/>
    <cellStyle name="Comma 3 2 8 2 3 3 2" xfId="6865"/>
    <cellStyle name="Comma 3 2 8 2 3 4" xfId="6866"/>
    <cellStyle name="Comma 3 2 8 2 4" xfId="6867"/>
    <cellStyle name="Comma 3 2 8 2 4 2" xfId="6868"/>
    <cellStyle name="Comma 3 2 8 2 4 2 2" xfId="6869"/>
    <cellStyle name="Comma 3 2 8 2 4 3" xfId="6870"/>
    <cellStyle name="Comma 3 2 8 2 5" xfId="6871"/>
    <cellStyle name="Comma 3 2 8 2 5 2" xfId="6872"/>
    <cellStyle name="Comma 3 2 8 2 5 2 2" xfId="6873"/>
    <cellStyle name="Comma 3 2 8 2 5 3" xfId="6874"/>
    <cellStyle name="Comma 3 2 8 2 6" xfId="6875"/>
    <cellStyle name="Comma 3 2 8 2 6 2" xfId="6876"/>
    <cellStyle name="Comma 3 2 8 2 7" xfId="6877"/>
    <cellStyle name="Comma 3 2 8 2 7 2" xfId="36133"/>
    <cellStyle name="Comma 3 2 8 2 8" xfId="6878"/>
    <cellStyle name="Comma 3 2 8 3" xfId="6879"/>
    <cellStyle name="Comma 3 2 8 3 2" xfId="6880"/>
    <cellStyle name="Comma 3 2 8 3 2 2" xfId="6881"/>
    <cellStyle name="Comma 3 2 8 3 2 2 2" xfId="6882"/>
    <cellStyle name="Comma 3 2 8 3 2 2 3" xfId="6883"/>
    <cellStyle name="Comma 3 2 8 3 2 3" xfId="6884"/>
    <cellStyle name="Comma 3 2 8 3 2 3 2" xfId="6885"/>
    <cellStyle name="Comma 3 2 8 3 2 4" xfId="6886"/>
    <cellStyle name="Comma 3 2 8 3 3" xfId="6887"/>
    <cellStyle name="Comma 3 2 8 3 3 2" xfId="6888"/>
    <cellStyle name="Comma 3 2 8 3 3 2 2" xfId="6889"/>
    <cellStyle name="Comma 3 2 8 3 3 3" xfId="6890"/>
    <cellStyle name="Comma 3 2 8 3 4" xfId="6891"/>
    <cellStyle name="Comma 3 2 8 3 4 2" xfId="6892"/>
    <cellStyle name="Comma 3 2 8 3 4 3" xfId="6893"/>
    <cellStyle name="Comma 3 2 8 3 5" xfId="6894"/>
    <cellStyle name="Comma 3 2 8 3 5 2" xfId="6895"/>
    <cellStyle name="Comma 3 2 8 3 6" xfId="6896"/>
    <cellStyle name="Comma 3 2 8 3 6 2" xfId="36134"/>
    <cellStyle name="Comma 3 2 8 3 7" xfId="6897"/>
    <cellStyle name="Comma 3 2 8 4" xfId="6898"/>
    <cellStyle name="Comma 3 2 8 4 2" xfId="6899"/>
    <cellStyle name="Comma 3 2 8 4 2 2" xfId="6900"/>
    <cellStyle name="Comma 3 2 8 4 2 2 2" xfId="6901"/>
    <cellStyle name="Comma 3 2 8 4 2 3" xfId="6902"/>
    <cellStyle name="Comma 3 2 8 4 3" xfId="6903"/>
    <cellStyle name="Comma 3 2 8 4 3 2" xfId="6904"/>
    <cellStyle name="Comma 3 2 8 4 4" xfId="6905"/>
    <cellStyle name="Comma 3 2 8 5" xfId="6906"/>
    <cellStyle name="Comma 3 2 8 5 2" xfId="6907"/>
    <cellStyle name="Comma 3 2 8 5 2 2" xfId="6908"/>
    <cellStyle name="Comma 3 2 8 5 3" xfId="6909"/>
    <cellStyle name="Comma 3 2 8 6" xfId="6910"/>
    <cellStyle name="Comma 3 2 8 6 2" xfId="6911"/>
    <cellStyle name="Comma 3 2 8 6 2 2" xfId="6912"/>
    <cellStyle name="Comma 3 2 8 6 3" xfId="6913"/>
    <cellStyle name="Comma 3 2 8 7" xfId="6914"/>
    <cellStyle name="Comma 3 2 8 7 2" xfId="6915"/>
    <cellStyle name="Comma 3 2 8 8" xfId="6916"/>
    <cellStyle name="Comma 3 2 8 8 2" xfId="36135"/>
    <cellStyle name="Comma 3 2 8 9" xfId="6917"/>
    <cellStyle name="Comma 3 2 9" xfId="6918"/>
    <cellStyle name="Comma 3 2 9 2" xfId="6919"/>
    <cellStyle name="Comma 3 2 9 2 2" xfId="6920"/>
    <cellStyle name="Comma 3 2 9 2 2 2" xfId="6921"/>
    <cellStyle name="Comma 3 2 9 2 2 2 2" xfId="6922"/>
    <cellStyle name="Comma 3 2 9 2 2 2 3" xfId="6923"/>
    <cellStyle name="Comma 3 2 9 2 2 3" xfId="6924"/>
    <cellStyle name="Comma 3 2 9 2 2 3 2" xfId="6925"/>
    <cellStyle name="Comma 3 2 9 2 2 4" xfId="6926"/>
    <cellStyle name="Comma 3 2 9 2 3" xfId="6927"/>
    <cellStyle name="Comma 3 2 9 2 3 2" xfId="6928"/>
    <cellStyle name="Comma 3 2 9 2 3 2 2" xfId="6929"/>
    <cellStyle name="Comma 3 2 9 2 3 3" xfId="6930"/>
    <cellStyle name="Comma 3 2 9 2 4" xfId="6931"/>
    <cellStyle name="Comma 3 2 9 2 4 2" xfId="6932"/>
    <cellStyle name="Comma 3 2 9 2 4 3" xfId="6933"/>
    <cellStyle name="Comma 3 2 9 2 5" xfId="6934"/>
    <cellStyle name="Comma 3 2 9 2 5 2" xfId="6935"/>
    <cellStyle name="Comma 3 2 9 2 6" xfId="6936"/>
    <cellStyle name="Comma 3 2 9 2 6 2" xfId="36136"/>
    <cellStyle name="Comma 3 2 9 2 7" xfId="6937"/>
    <cellStyle name="Comma 3 2 9 3" xfId="6938"/>
    <cellStyle name="Comma 3 2 9 3 2" xfId="6939"/>
    <cellStyle name="Comma 3 2 9 3 2 2" xfId="6940"/>
    <cellStyle name="Comma 3 2 9 3 2 2 2" xfId="6941"/>
    <cellStyle name="Comma 3 2 9 3 2 3" xfId="6942"/>
    <cellStyle name="Comma 3 2 9 3 3" xfId="6943"/>
    <cellStyle name="Comma 3 2 9 3 3 2" xfId="6944"/>
    <cellStyle name="Comma 3 2 9 3 4" xfId="6945"/>
    <cellStyle name="Comma 3 2 9 4" xfId="6946"/>
    <cellStyle name="Comma 3 2 9 4 2" xfId="6947"/>
    <cellStyle name="Comma 3 2 9 4 2 2" xfId="6948"/>
    <cellStyle name="Comma 3 2 9 4 3" xfId="6949"/>
    <cellStyle name="Comma 3 2 9 5" xfId="6950"/>
    <cellStyle name="Comma 3 2 9 5 2" xfId="6951"/>
    <cellStyle name="Comma 3 2 9 5 2 2" xfId="6952"/>
    <cellStyle name="Comma 3 2 9 5 3" xfId="6953"/>
    <cellStyle name="Comma 3 2 9 6" xfId="6954"/>
    <cellStyle name="Comma 3 2 9 6 2" xfId="6955"/>
    <cellStyle name="Comma 3 2 9 7" xfId="6956"/>
    <cellStyle name="Comma 3 2 9 7 2" xfId="36137"/>
    <cellStyle name="Comma 3 2 9 8" xfId="6957"/>
    <cellStyle name="Comma 3 20" xfId="35797"/>
    <cellStyle name="Comma 3 3" xfId="6958"/>
    <cellStyle name="Comma 3 3 10" xfId="6959"/>
    <cellStyle name="Comma 3 3 10 2" xfId="6960"/>
    <cellStyle name="Comma 3 3 10 2 2" xfId="6961"/>
    <cellStyle name="Comma 3 3 10 3" xfId="6962"/>
    <cellStyle name="Comma 3 3 11" xfId="6963"/>
    <cellStyle name="Comma 3 3 11 2" xfId="6964"/>
    <cellStyle name="Comma 3 3 11 2 2" xfId="6965"/>
    <cellStyle name="Comma 3 3 11 3" xfId="6966"/>
    <cellStyle name="Comma 3 3 12" xfId="6967"/>
    <cellStyle name="Comma 3 3 12 2" xfId="6968"/>
    <cellStyle name="Comma 3 3 13" xfId="6969"/>
    <cellStyle name="Comma 3 3 13 2" xfId="36138"/>
    <cellStyle name="Comma 3 3 14" xfId="6970"/>
    <cellStyle name="Comma 3 3 2" xfId="6971"/>
    <cellStyle name="Comma 3 3 2 10" xfId="6972"/>
    <cellStyle name="Comma 3 3 2 2" xfId="6973"/>
    <cellStyle name="Comma 3 3 2 2 2" xfId="6974"/>
    <cellStyle name="Comma 3 3 2 2 2 2" xfId="6975"/>
    <cellStyle name="Comma 3 3 2 2 2 2 2" xfId="6976"/>
    <cellStyle name="Comma 3 3 2 2 2 2 2 2" xfId="6977"/>
    <cellStyle name="Comma 3 3 2 2 2 2 2 2 2" xfId="6978"/>
    <cellStyle name="Comma 3 3 2 2 2 2 2 2 3" xfId="6979"/>
    <cellStyle name="Comma 3 3 2 2 2 2 2 3" xfId="6980"/>
    <cellStyle name="Comma 3 3 2 2 2 2 2 3 2" xfId="6981"/>
    <cellStyle name="Comma 3 3 2 2 2 2 2 4" xfId="6982"/>
    <cellStyle name="Comma 3 3 2 2 2 2 3" xfId="6983"/>
    <cellStyle name="Comma 3 3 2 2 2 2 3 2" xfId="6984"/>
    <cellStyle name="Comma 3 3 2 2 2 2 3 2 2" xfId="6985"/>
    <cellStyle name="Comma 3 3 2 2 2 2 3 3" xfId="6986"/>
    <cellStyle name="Comma 3 3 2 2 2 2 4" xfId="6987"/>
    <cellStyle name="Comma 3 3 2 2 2 2 4 2" xfId="6988"/>
    <cellStyle name="Comma 3 3 2 2 2 2 4 3" xfId="6989"/>
    <cellStyle name="Comma 3 3 2 2 2 2 5" xfId="6990"/>
    <cellStyle name="Comma 3 3 2 2 2 2 5 2" xfId="6991"/>
    <cellStyle name="Comma 3 3 2 2 2 2 6" xfId="6992"/>
    <cellStyle name="Comma 3 3 2 2 2 2 6 2" xfId="36139"/>
    <cellStyle name="Comma 3 3 2 2 2 2 7" xfId="6993"/>
    <cellStyle name="Comma 3 3 2 2 2 3" xfId="6994"/>
    <cellStyle name="Comma 3 3 2 2 2 3 2" xfId="6995"/>
    <cellStyle name="Comma 3 3 2 2 2 3 2 2" xfId="6996"/>
    <cellStyle name="Comma 3 3 2 2 2 3 2 2 2" xfId="6997"/>
    <cellStyle name="Comma 3 3 2 2 2 3 2 3" xfId="6998"/>
    <cellStyle name="Comma 3 3 2 2 2 3 3" xfId="6999"/>
    <cellStyle name="Comma 3 3 2 2 2 3 3 2" xfId="7000"/>
    <cellStyle name="Comma 3 3 2 2 2 3 4" xfId="7001"/>
    <cellStyle name="Comma 3 3 2 2 2 4" xfId="7002"/>
    <cellStyle name="Comma 3 3 2 2 2 4 2" xfId="7003"/>
    <cellStyle name="Comma 3 3 2 2 2 4 2 2" xfId="7004"/>
    <cellStyle name="Comma 3 3 2 2 2 4 3" xfId="7005"/>
    <cellStyle name="Comma 3 3 2 2 2 5" xfId="7006"/>
    <cellStyle name="Comma 3 3 2 2 2 5 2" xfId="7007"/>
    <cellStyle name="Comma 3 3 2 2 2 5 2 2" xfId="7008"/>
    <cellStyle name="Comma 3 3 2 2 2 5 3" xfId="7009"/>
    <cellStyle name="Comma 3 3 2 2 2 6" xfId="7010"/>
    <cellStyle name="Comma 3 3 2 2 2 6 2" xfId="7011"/>
    <cellStyle name="Comma 3 3 2 2 2 7" xfId="7012"/>
    <cellStyle name="Comma 3 3 2 2 2 7 2" xfId="36140"/>
    <cellStyle name="Comma 3 3 2 2 2 8" xfId="7013"/>
    <cellStyle name="Comma 3 3 2 2 3" xfId="7014"/>
    <cellStyle name="Comma 3 3 2 2 3 2" xfId="7015"/>
    <cellStyle name="Comma 3 3 2 2 3 2 2" xfId="7016"/>
    <cellStyle name="Comma 3 3 2 2 3 2 2 2" xfId="7017"/>
    <cellStyle name="Comma 3 3 2 2 3 2 2 3" xfId="7018"/>
    <cellStyle name="Comma 3 3 2 2 3 2 3" xfId="7019"/>
    <cellStyle name="Comma 3 3 2 2 3 2 3 2" xfId="7020"/>
    <cellStyle name="Comma 3 3 2 2 3 2 4" xfId="7021"/>
    <cellStyle name="Comma 3 3 2 2 3 3" xfId="7022"/>
    <cellStyle name="Comma 3 3 2 2 3 3 2" xfId="7023"/>
    <cellStyle name="Comma 3 3 2 2 3 3 2 2" xfId="7024"/>
    <cellStyle name="Comma 3 3 2 2 3 3 3" xfId="7025"/>
    <cellStyle name="Comma 3 3 2 2 3 4" xfId="7026"/>
    <cellStyle name="Comma 3 3 2 2 3 4 2" xfId="7027"/>
    <cellStyle name="Comma 3 3 2 2 3 4 3" xfId="7028"/>
    <cellStyle name="Comma 3 3 2 2 3 5" xfId="7029"/>
    <cellStyle name="Comma 3 3 2 2 3 5 2" xfId="7030"/>
    <cellStyle name="Comma 3 3 2 2 3 6" xfId="7031"/>
    <cellStyle name="Comma 3 3 2 2 3 6 2" xfId="36141"/>
    <cellStyle name="Comma 3 3 2 2 3 7" xfId="7032"/>
    <cellStyle name="Comma 3 3 2 2 4" xfId="7033"/>
    <cellStyle name="Comma 3 3 2 2 4 2" xfId="7034"/>
    <cellStyle name="Comma 3 3 2 2 4 2 2" xfId="7035"/>
    <cellStyle name="Comma 3 3 2 2 4 2 2 2" xfId="7036"/>
    <cellStyle name="Comma 3 3 2 2 4 2 3" xfId="7037"/>
    <cellStyle name="Comma 3 3 2 2 4 3" xfId="7038"/>
    <cellStyle name="Comma 3 3 2 2 4 3 2" xfId="7039"/>
    <cellStyle name="Comma 3 3 2 2 4 4" xfId="7040"/>
    <cellStyle name="Comma 3 3 2 2 5" xfId="7041"/>
    <cellStyle name="Comma 3 3 2 2 5 2" xfId="7042"/>
    <cellStyle name="Comma 3 3 2 2 5 2 2" xfId="7043"/>
    <cellStyle name="Comma 3 3 2 2 5 3" xfId="7044"/>
    <cellStyle name="Comma 3 3 2 2 6" xfId="7045"/>
    <cellStyle name="Comma 3 3 2 2 6 2" xfId="7046"/>
    <cellStyle name="Comma 3 3 2 2 6 2 2" xfId="7047"/>
    <cellStyle name="Comma 3 3 2 2 6 3" xfId="7048"/>
    <cellStyle name="Comma 3 3 2 2 7" xfId="7049"/>
    <cellStyle name="Comma 3 3 2 2 7 2" xfId="7050"/>
    <cellStyle name="Comma 3 3 2 2 8" xfId="7051"/>
    <cellStyle name="Comma 3 3 2 2 8 2" xfId="36142"/>
    <cellStyle name="Comma 3 3 2 2 9" xfId="7052"/>
    <cellStyle name="Comma 3 3 2 3" xfId="7053"/>
    <cellStyle name="Comma 3 3 2 3 2" xfId="7054"/>
    <cellStyle name="Comma 3 3 2 3 2 2" xfId="7055"/>
    <cellStyle name="Comma 3 3 2 3 2 2 2" xfId="7056"/>
    <cellStyle name="Comma 3 3 2 3 2 2 2 2" xfId="7057"/>
    <cellStyle name="Comma 3 3 2 3 2 2 2 3" xfId="7058"/>
    <cellStyle name="Comma 3 3 2 3 2 2 3" xfId="7059"/>
    <cellStyle name="Comma 3 3 2 3 2 2 3 2" xfId="7060"/>
    <cellStyle name="Comma 3 3 2 3 2 2 4" xfId="7061"/>
    <cellStyle name="Comma 3 3 2 3 2 3" xfId="7062"/>
    <cellStyle name="Comma 3 3 2 3 2 3 2" xfId="7063"/>
    <cellStyle name="Comma 3 3 2 3 2 3 2 2" xfId="7064"/>
    <cellStyle name="Comma 3 3 2 3 2 3 3" xfId="7065"/>
    <cellStyle name="Comma 3 3 2 3 2 4" xfId="7066"/>
    <cellStyle name="Comma 3 3 2 3 2 4 2" xfId="7067"/>
    <cellStyle name="Comma 3 3 2 3 2 4 3" xfId="7068"/>
    <cellStyle name="Comma 3 3 2 3 2 5" xfId="7069"/>
    <cellStyle name="Comma 3 3 2 3 2 5 2" xfId="7070"/>
    <cellStyle name="Comma 3 3 2 3 2 6" xfId="7071"/>
    <cellStyle name="Comma 3 3 2 3 2 6 2" xfId="36143"/>
    <cellStyle name="Comma 3 3 2 3 2 7" xfId="7072"/>
    <cellStyle name="Comma 3 3 2 3 3" xfId="7073"/>
    <cellStyle name="Comma 3 3 2 3 3 2" xfId="7074"/>
    <cellStyle name="Comma 3 3 2 3 3 2 2" xfId="7075"/>
    <cellStyle name="Comma 3 3 2 3 3 2 2 2" xfId="7076"/>
    <cellStyle name="Comma 3 3 2 3 3 2 3" xfId="7077"/>
    <cellStyle name="Comma 3 3 2 3 3 3" xfId="7078"/>
    <cellStyle name="Comma 3 3 2 3 3 3 2" xfId="7079"/>
    <cellStyle name="Comma 3 3 2 3 3 4" xfId="7080"/>
    <cellStyle name="Comma 3 3 2 3 4" xfId="7081"/>
    <cellStyle name="Comma 3 3 2 3 4 2" xfId="7082"/>
    <cellStyle name="Comma 3 3 2 3 4 2 2" xfId="7083"/>
    <cellStyle name="Comma 3 3 2 3 4 3" xfId="7084"/>
    <cellStyle name="Comma 3 3 2 3 5" xfId="7085"/>
    <cellStyle name="Comma 3 3 2 3 5 2" xfId="7086"/>
    <cellStyle name="Comma 3 3 2 3 5 2 2" xfId="7087"/>
    <cellStyle name="Comma 3 3 2 3 5 3" xfId="7088"/>
    <cellStyle name="Comma 3 3 2 3 6" xfId="7089"/>
    <cellStyle name="Comma 3 3 2 3 6 2" xfId="7090"/>
    <cellStyle name="Comma 3 3 2 3 7" xfId="7091"/>
    <cellStyle name="Comma 3 3 2 3 7 2" xfId="36144"/>
    <cellStyle name="Comma 3 3 2 3 8" xfId="7092"/>
    <cellStyle name="Comma 3 3 2 4" xfId="7093"/>
    <cellStyle name="Comma 3 3 2 4 2" xfId="7094"/>
    <cellStyle name="Comma 3 3 2 4 2 2" xfId="7095"/>
    <cellStyle name="Comma 3 3 2 4 2 2 2" xfId="7096"/>
    <cellStyle name="Comma 3 3 2 4 2 2 3" xfId="7097"/>
    <cellStyle name="Comma 3 3 2 4 2 3" xfId="7098"/>
    <cellStyle name="Comma 3 3 2 4 2 3 2" xfId="7099"/>
    <cellStyle name="Comma 3 3 2 4 2 4" xfId="7100"/>
    <cellStyle name="Comma 3 3 2 4 3" xfId="7101"/>
    <cellStyle name="Comma 3 3 2 4 3 2" xfId="7102"/>
    <cellStyle name="Comma 3 3 2 4 3 2 2" xfId="7103"/>
    <cellStyle name="Comma 3 3 2 4 3 3" xfId="7104"/>
    <cellStyle name="Comma 3 3 2 4 4" xfId="7105"/>
    <cellStyle name="Comma 3 3 2 4 4 2" xfId="7106"/>
    <cellStyle name="Comma 3 3 2 4 4 3" xfId="7107"/>
    <cellStyle name="Comma 3 3 2 4 5" xfId="7108"/>
    <cellStyle name="Comma 3 3 2 4 5 2" xfId="7109"/>
    <cellStyle name="Comma 3 3 2 4 6" xfId="7110"/>
    <cellStyle name="Comma 3 3 2 4 6 2" xfId="36145"/>
    <cellStyle name="Comma 3 3 2 4 7" xfId="7111"/>
    <cellStyle name="Comma 3 3 2 5" xfId="7112"/>
    <cellStyle name="Comma 3 3 2 5 2" xfId="7113"/>
    <cellStyle name="Comma 3 3 2 5 2 2" xfId="7114"/>
    <cellStyle name="Comma 3 3 2 5 2 2 2" xfId="7115"/>
    <cellStyle name="Comma 3 3 2 5 2 3" xfId="7116"/>
    <cellStyle name="Comma 3 3 2 5 3" xfId="7117"/>
    <cellStyle name="Comma 3 3 2 5 3 2" xfId="7118"/>
    <cellStyle name="Comma 3 3 2 5 4" xfId="7119"/>
    <cellStyle name="Comma 3 3 2 6" xfId="7120"/>
    <cellStyle name="Comma 3 3 2 6 2" xfId="7121"/>
    <cellStyle name="Comma 3 3 2 6 2 2" xfId="7122"/>
    <cellStyle name="Comma 3 3 2 6 3" xfId="7123"/>
    <cellStyle name="Comma 3 3 2 7" xfId="7124"/>
    <cellStyle name="Comma 3 3 2 7 2" xfId="7125"/>
    <cellStyle name="Comma 3 3 2 7 2 2" xfId="7126"/>
    <cellStyle name="Comma 3 3 2 7 3" xfId="7127"/>
    <cellStyle name="Comma 3 3 2 8" xfId="7128"/>
    <cellStyle name="Comma 3 3 2 8 2" xfId="7129"/>
    <cellStyle name="Comma 3 3 2 9" xfId="7130"/>
    <cellStyle name="Comma 3 3 2 9 2" xfId="36146"/>
    <cellStyle name="Comma 3 3 3" xfId="7131"/>
    <cellStyle name="Comma 3 3 3 2" xfId="7132"/>
    <cellStyle name="Comma 3 3 3 2 2" xfId="7133"/>
    <cellStyle name="Comma 3 3 3 2 2 2" xfId="7134"/>
    <cellStyle name="Comma 3 3 3 2 2 2 2" xfId="7135"/>
    <cellStyle name="Comma 3 3 3 2 2 2 2 2" xfId="7136"/>
    <cellStyle name="Comma 3 3 3 2 2 2 2 3" xfId="7137"/>
    <cellStyle name="Comma 3 3 3 2 2 2 3" xfId="7138"/>
    <cellStyle name="Comma 3 3 3 2 2 2 3 2" xfId="7139"/>
    <cellStyle name="Comma 3 3 3 2 2 2 4" xfId="7140"/>
    <cellStyle name="Comma 3 3 3 2 2 3" xfId="7141"/>
    <cellStyle name="Comma 3 3 3 2 2 3 2" xfId="7142"/>
    <cellStyle name="Comma 3 3 3 2 2 3 2 2" xfId="7143"/>
    <cellStyle name="Comma 3 3 3 2 2 3 3" xfId="7144"/>
    <cellStyle name="Comma 3 3 3 2 2 4" xfId="7145"/>
    <cellStyle name="Comma 3 3 3 2 2 4 2" xfId="7146"/>
    <cellStyle name="Comma 3 3 3 2 2 4 3" xfId="7147"/>
    <cellStyle name="Comma 3 3 3 2 2 5" xfId="7148"/>
    <cellStyle name="Comma 3 3 3 2 2 5 2" xfId="7149"/>
    <cellStyle name="Comma 3 3 3 2 2 6" xfId="7150"/>
    <cellStyle name="Comma 3 3 3 2 2 6 2" xfId="36147"/>
    <cellStyle name="Comma 3 3 3 2 2 7" xfId="7151"/>
    <cellStyle name="Comma 3 3 3 2 3" xfId="7152"/>
    <cellStyle name="Comma 3 3 3 2 3 2" xfId="7153"/>
    <cellStyle name="Comma 3 3 3 2 3 2 2" xfId="7154"/>
    <cellStyle name="Comma 3 3 3 2 3 2 2 2" xfId="7155"/>
    <cellStyle name="Comma 3 3 3 2 3 2 3" xfId="7156"/>
    <cellStyle name="Comma 3 3 3 2 3 3" xfId="7157"/>
    <cellStyle name="Comma 3 3 3 2 3 3 2" xfId="7158"/>
    <cellStyle name="Comma 3 3 3 2 3 4" xfId="7159"/>
    <cellStyle name="Comma 3 3 3 2 4" xfId="7160"/>
    <cellStyle name="Comma 3 3 3 2 4 2" xfId="7161"/>
    <cellStyle name="Comma 3 3 3 2 4 2 2" xfId="7162"/>
    <cellStyle name="Comma 3 3 3 2 4 3" xfId="7163"/>
    <cellStyle name="Comma 3 3 3 2 5" xfId="7164"/>
    <cellStyle name="Comma 3 3 3 2 5 2" xfId="7165"/>
    <cellStyle name="Comma 3 3 3 2 5 2 2" xfId="7166"/>
    <cellStyle name="Comma 3 3 3 2 5 3" xfId="7167"/>
    <cellStyle name="Comma 3 3 3 2 6" xfId="7168"/>
    <cellStyle name="Comma 3 3 3 2 6 2" xfId="7169"/>
    <cellStyle name="Comma 3 3 3 2 7" xfId="7170"/>
    <cellStyle name="Comma 3 3 3 2 7 2" xfId="36148"/>
    <cellStyle name="Comma 3 3 3 2 8" xfId="7171"/>
    <cellStyle name="Comma 3 3 3 3" xfId="7172"/>
    <cellStyle name="Comma 3 3 3 3 2" xfId="7173"/>
    <cellStyle name="Comma 3 3 3 3 2 2" xfId="7174"/>
    <cellStyle name="Comma 3 3 3 3 2 2 2" xfId="7175"/>
    <cellStyle name="Comma 3 3 3 3 2 2 3" xfId="7176"/>
    <cellStyle name="Comma 3 3 3 3 2 3" xfId="7177"/>
    <cellStyle name="Comma 3 3 3 3 2 3 2" xfId="7178"/>
    <cellStyle name="Comma 3 3 3 3 2 4" xfId="7179"/>
    <cellStyle name="Comma 3 3 3 3 3" xfId="7180"/>
    <cellStyle name="Comma 3 3 3 3 3 2" xfId="7181"/>
    <cellStyle name="Comma 3 3 3 3 3 2 2" xfId="7182"/>
    <cellStyle name="Comma 3 3 3 3 3 3" xfId="7183"/>
    <cellStyle name="Comma 3 3 3 3 4" xfId="7184"/>
    <cellStyle name="Comma 3 3 3 3 4 2" xfId="7185"/>
    <cellStyle name="Comma 3 3 3 3 4 3" xfId="7186"/>
    <cellStyle name="Comma 3 3 3 3 5" xfId="7187"/>
    <cellStyle name="Comma 3 3 3 3 5 2" xfId="7188"/>
    <cellStyle name="Comma 3 3 3 3 6" xfId="7189"/>
    <cellStyle name="Comma 3 3 3 3 6 2" xfId="36149"/>
    <cellStyle name="Comma 3 3 3 3 7" xfId="7190"/>
    <cellStyle name="Comma 3 3 3 4" xfId="7191"/>
    <cellStyle name="Comma 3 3 3 4 2" xfId="7192"/>
    <cellStyle name="Comma 3 3 3 4 2 2" xfId="7193"/>
    <cellStyle name="Comma 3 3 3 4 2 2 2" xfId="7194"/>
    <cellStyle name="Comma 3 3 3 4 2 3" xfId="7195"/>
    <cellStyle name="Comma 3 3 3 4 3" xfId="7196"/>
    <cellStyle name="Comma 3 3 3 4 3 2" xfId="7197"/>
    <cellStyle name="Comma 3 3 3 4 4" xfId="7198"/>
    <cellStyle name="Comma 3 3 3 5" xfId="7199"/>
    <cellStyle name="Comma 3 3 3 5 2" xfId="7200"/>
    <cellStyle name="Comma 3 3 3 5 2 2" xfId="7201"/>
    <cellStyle name="Comma 3 3 3 5 3" xfId="7202"/>
    <cellStyle name="Comma 3 3 3 6" xfId="7203"/>
    <cellStyle name="Comma 3 3 3 6 2" xfId="7204"/>
    <cellStyle name="Comma 3 3 3 6 2 2" xfId="7205"/>
    <cellStyle name="Comma 3 3 3 6 3" xfId="7206"/>
    <cellStyle name="Comma 3 3 3 7" xfId="7207"/>
    <cellStyle name="Comma 3 3 3 7 2" xfId="7208"/>
    <cellStyle name="Comma 3 3 3 8" xfId="7209"/>
    <cellStyle name="Comma 3 3 3 8 2" xfId="36150"/>
    <cellStyle name="Comma 3 3 3 9" xfId="7210"/>
    <cellStyle name="Comma 3 3 4" xfId="7211"/>
    <cellStyle name="Comma 3 3 4 2" xfId="7212"/>
    <cellStyle name="Comma 3 3 4 2 2" xfId="7213"/>
    <cellStyle name="Comma 3 3 4 2 2 2" xfId="7214"/>
    <cellStyle name="Comma 3 3 4 2 2 2 2" xfId="7215"/>
    <cellStyle name="Comma 3 3 4 2 2 2 2 2" xfId="7216"/>
    <cellStyle name="Comma 3 3 4 2 2 2 2 3" xfId="7217"/>
    <cellStyle name="Comma 3 3 4 2 2 2 3" xfId="7218"/>
    <cellStyle name="Comma 3 3 4 2 2 2 3 2" xfId="7219"/>
    <cellStyle name="Comma 3 3 4 2 2 2 4" xfId="7220"/>
    <cellStyle name="Comma 3 3 4 2 2 3" xfId="7221"/>
    <cellStyle name="Comma 3 3 4 2 2 3 2" xfId="7222"/>
    <cellStyle name="Comma 3 3 4 2 2 3 2 2" xfId="7223"/>
    <cellStyle name="Comma 3 3 4 2 2 3 3" xfId="7224"/>
    <cellStyle name="Comma 3 3 4 2 2 4" xfId="7225"/>
    <cellStyle name="Comma 3 3 4 2 2 4 2" xfId="7226"/>
    <cellStyle name="Comma 3 3 4 2 2 4 3" xfId="7227"/>
    <cellStyle name="Comma 3 3 4 2 2 5" xfId="7228"/>
    <cellStyle name="Comma 3 3 4 2 2 5 2" xfId="7229"/>
    <cellStyle name="Comma 3 3 4 2 2 6" xfId="7230"/>
    <cellStyle name="Comma 3 3 4 2 2 6 2" xfId="36151"/>
    <cellStyle name="Comma 3 3 4 2 2 7" xfId="7231"/>
    <cellStyle name="Comma 3 3 4 2 3" xfId="7232"/>
    <cellStyle name="Comma 3 3 4 2 3 2" xfId="7233"/>
    <cellStyle name="Comma 3 3 4 2 3 2 2" xfId="7234"/>
    <cellStyle name="Comma 3 3 4 2 3 2 2 2" xfId="7235"/>
    <cellStyle name="Comma 3 3 4 2 3 2 3" xfId="7236"/>
    <cellStyle name="Comma 3 3 4 2 3 3" xfId="7237"/>
    <cellStyle name="Comma 3 3 4 2 3 3 2" xfId="7238"/>
    <cellStyle name="Comma 3 3 4 2 3 4" xfId="7239"/>
    <cellStyle name="Comma 3 3 4 2 4" xfId="7240"/>
    <cellStyle name="Comma 3 3 4 2 4 2" xfId="7241"/>
    <cellStyle name="Comma 3 3 4 2 4 2 2" xfId="7242"/>
    <cellStyle name="Comma 3 3 4 2 4 3" xfId="7243"/>
    <cellStyle name="Comma 3 3 4 2 5" xfId="7244"/>
    <cellStyle name="Comma 3 3 4 2 5 2" xfId="7245"/>
    <cellStyle name="Comma 3 3 4 2 5 2 2" xfId="7246"/>
    <cellStyle name="Comma 3 3 4 2 5 3" xfId="7247"/>
    <cellStyle name="Comma 3 3 4 2 6" xfId="7248"/>
    <cellStyle name="Comma 3 3 4 2 6 2" xfId="7249"/>
    <cellStyle name="Comma 3 3 4 2 7" xfId="7250"/>
    <cellStyle name="Comma 3 3 4 2 7 2" xfId="36152"/>
    <cellStyle name="Comma 3 3 4 2 8" xfId="7251"/>
    <cellStyle name="Comma 3 3 4 3" xfId="7252"/>
    <cellStyle name="Comma 3 3 4 3 2" xfId="7253"/>
    <cellStyle name="Comma 3 3 4 3 2 2" xfId="7254"/>
    <cellStyle name="Comma 3 3 4 3 2 2 2" xfId="7255"/>
    <cellStyle name="Comma 3 3 4 3 2 2 3" xfId="7256"/>
    <cellStyle name="Comma 3 3 4 3 2 3" xfId="7257"/>
    <cellStyle name="Comma 3 3 4 3 2 3 2" xfId="7258"/>
    <cellStyle name="Comma 3 3 4 3 2 4" xfId="7259"/>
    <cellStyle name="Comma 3 3 4 3 3" xfId="7260"/>
    <cellStyle name="Comma 3 3 4 3 3 2" xfId="7261"/>
    <cellStyle name="Comma 3 3 4 3 3 2 2" xfId="7262"/>
    <cellStyle name="Comma 3 3 4 3 3 3" xfId="7263"/>
    <cellStyle name="Comma 3 3 4 3 4" xfId="7264"/>
    <cellStyle name="Comma 3 3 4 3 4 2" xfId="7265"/>
    <cellStyle name="Comma 3 3 4 3 4 3" xfId="7266"/>
    <cellStyle name="Comma 3 3 4 3 5" xfId="7267"/>
    <cellStyle name="Comma 3 3 4 3 5 2" xfId="7268"/>
    <cellStyle name="Comma 3 3 4 3 6" xfId="7269"/>
    <cellStyle name="Comma 3 3 4 3 6 2" xfId="36153"/>
    <cellStyle name="Comma 3 3 4 3 7" xfId="7270"/>
    <cellStyle name="Comma 3 3 4 4" xfId="7271"/>
    <cellStyle name="Comma 3 3 4 4 2" xfId="7272"/>
    <cellStyle name="Comma 3 3 4 4 2 2" xfId="7273"/>
    <cellStyle name="Comma 3 3 4 4 2 2 2" xfId="7274"/>
    <cellStyle name="Comma 3 3 4 4 2 3" xfId="7275"/>
    <cellStyle name="Comma 3 3 4 4 3" xfId="7276"/>
    <cellStyle name="Comma 3 3 4 4 3 2" xfId="7277"/>
    <cellStyle name="Comma 3 3 4 4 4" xfId="7278"/>
    <cellStyle name="Comma 3 3 4 5" xfId="7279"/>
    <cellStyle name="Comma 3 3 4 5 2" xfId="7280"/>
    <cellStyle name="Comma 3 3 4 5 2 2" xfId="7281"/>
    <cellStyle name="Comma 3 3 4 5 3" xfId="7282"/>
    <cellStyle name="Comma 3 3 4 6" xfId="7283"/>
    <cellStyle name="Comma 3 3 4 6 2" xfId="7284"/>
    <cellStyle name="Comma 3 3 4 6 2 2" xfId="7285"/>
    <cellStyle name="Comma 3 3 4 6 3" xfId="7286"/>
    <cellStyle name="Comma 3 3 4 7" xfId="7287"/>
    <cellStyle name="Comma 3 3 4 7 2" xfId="7288"/>
    <cellStyle name="Comma 3 3 4 8" xfId="7289"/>
    <cellStyle name="Comma 3 3 4 8 2" xfId="36154"/>
    <cellStyle name="Comma 3 3 4 9" xfId="7290"/>
    <cellStyle name="Comma 3 3 5" xfId="7291"/>
    <cellStyle name="Comma 3 3 5 2" xfId="7292"/>
    <cellStyle name="Comma 3 3 5 2 2" xfId="7293"/>
    <cellStyle name="Comma 3 3 5 2 2 2" xfId="7294"/>
    <cellStyle name="Comma 3 3 5 2 2 2 2" xfId="7295"/>
    <cellStyle name="Comma 3 3 5 2 2 2 3" xfId="7296"/>
    <cellStyle name="Comma 3 3 5 2 2 3" xfId="7297"/>
    <cellStyle name="Comma 3 3 5 2 2 3 2" xfId="7298"/>
    <cellStyle name="Comma 3 3 5 2 2 4" xfId="7299"/>
    <cellStyle name="Comma 3 3 5 2 3" xfId="7300"/>
    <cellStyle name="Comma 3 3 5 2 3 2" xfId="7301"/>
    <cellStyle name="Comma 3 3 5 2 3 2 2" xfId="7302"/>
    <cellStyle name="Comma 3 3 5 2 3 3" xfId="7303"/>
    <cellStyle name="Comma 3 3 5 2 4" xfId="7304"/>
    <cellStyle name="Comma 3 3 5 2 4 2" xfId="7305"/>
    <cellStyle name="Comma 3 3 5 2 4 3" xfId="7306"/>
    <cellStyle name="Comma 3 3 5 2 5" xfId="7307"/>
    <cellStyle name="Comma 3 3 5 2 5 2" xfId="7308"/>
    <cellStyle name="Comma 3 3 5 2 6" xfId="7309"/>
    <cellStyle name="Comma 3 3 5 2 6 2" xfId="36155"/>
    <cellStyle name="Comma 3 3 5 2 7" xfId="7310"/>
    <cellStyle name="Comma 3 3 5 3" xfId="7311"/>
    <cellStyle name="Comma 3 3 5 3 2" xfId="7312"/>
    <cellStyle name="Comma 3 3 5 3 2 2" xfId="7313"/>
    <cellStyle name="Comma 3 3 5 3 2 2 2" xfId="7314"/>
    <cellStyle name="Comma 3 3 5 3 2 3" xfId="7315"/>
    <cellStyle name="Comma 3 3 5 3 3" xfId="7316"/>
    <cellStyle name="Comma 3 3 5 3 3 2" xfId="7317"/>
    <cellStyle name="Comma 3 3 5 3 4" xfId="7318"/>
    <cellStyle name="Comma 3 3 5 4" xfId="7319"/>
    <cellStyle name="Comma 3 3 5 4 2" xfId="7320"/>
    <cellStyle name="Comma 3 3 5 4 2 2" xfId="7321"/>
    <cellStyle name="Comma 3 3 5 4 3" xfId="7322"/>
    <cellStyle name="Comma 3 3 5 5" xfId="7323"/>
    <cellStyle name="Comma 3 3 5 5 2" xfId="7324"/>
    <cellStyle name="Comma 3 3 5 5 2 2" xfId="7325"/>
    <cellStyle name="Comma 3 3 5 5 3" xfId="7326"/>
    <cellStyle name="Comma 3 3 5 6" xfId="7327"/>
    <cellStyle name="Comma 3 3 5 6 2" xfId="7328"/>
    <cellStyle name="Comma 3 3 5 7" xfId="7329"/>
    <cellStyle name="Comma 3 3 5 7 2" xfId="36156"/>
    <cellStyle name="Comma 3 3 5 8" xfId="7330"/>
    <cellStyle name="Comma 3 3 6" xfId="7331"/>
    <cellStyle name="Comma 3 3 6 2" xfId="7332"/>
    <cellStyle name="Comma 3 3 6 2 2" xfId="7333"/>
    <cellStyle name="Comma 3 3 6 2 2 2" xfId="7334"/>
    <cellStyle name="Comma 3 3 6 2 2 2 2" xfId="7335"/>
    <cellStyle name="Comma 3 3 6 2 2 2 3" xfId="7336"/>
    <cellStyle name="Comma 3 3 6 2 2 3" xfId="7337"/>
    <cellStyle name="Comma 3 3 6 2 2 3 2" xfId="7338"/>
    <cellStyle name="Comma 3 3 6 2 2 4" xfId="7339"/>
    <cellStyle name="Comma 3 3 6 2 3" xfId="7340"/>
    <cellStyle name="Comma 3 3 6 2 3 2" xfId="7341"/>
    <cellStyle name="Comma 3 3 6 2 3 2 2" xfId="7342"/>
    <cellStyle name="Comma 3 3 6 2 3 3" xfId="7343"/>
    <cellStyle name="Comma 3 3 6 2 4" xfId="7344"/>
    <cellStyle name="Comma 3 3 6 2 4 2" xfId="7345"/>
    <cellStyle name="Comma 3 3 6 2 4 3" xfId="7346"/>
    <cellStyle name="Comma 3 3 6 2 5" xfId="7347"/>
    <cellStyle name="Comma 3 3 6 2 5 2" xfId="7348"/>
    <cellStyle name="Comma 3 3 6 2 6" xfId="7349"/>
    <cellStyle name="Comma 3 3 6 2 6 2" xfId="36157"/>
    <cellStyle name="Comma 3 3 6 2 7" xfId="7350"/>
    <cellStyle name="Comma 3 3 6 3" xfId="7351"/>
    <cellStyle name="Comma 3 3 6 3 2" xfId="7352"/>
    <cellStyle name="Comma 3 3 6 3 2 2" xfId="7353"/>
    <cellStyle name="Comma 3 3 6 3 2 2 2" xfId="7354"/>
    <cellStyle name="Comma 3 3 6 3 2 3" xfId="7355"/>
    <cellStyle name="Comma 3 3 6 3 3" xfId="7356"/>
    <cellStyle name="Comma 3 3 6 3 3 2" xfId="7357"/>
    <cellStyle name="Comma 3 3 6 3 4" xfId="7358"/>
    <cellStyle name="Comma 3 3 6 4" xfId="7359"/>
    <cellStyle name="Comma 3 3 6 4 2" xfId="7360"/>
    <cellStyle name="Comma 3 3 6 4 2 2" xfId="7361"/>
    <cellStyle name="Comma 3 3 6 4 3" xfId="7362"/>
    <cellStyle name="Comma 3 3 6 5" xfId="7363"/>
    <cellStyle name="Comma 3 3 6 5 2" xfId="7364"/>
    <cellStyle name="Comma 3 3 6 5 2 2" xfId="7365"/>
    <cellStyle name="Comma 3 3 6 5 3" xfId="7366"/>
    <cellStyle name="Comma 3 3 6 6" xfId="7367"/>
    <cellStyle name="Comma 3 3 6 6 2" xfId="7368"/>
    <cellStyle name="Comma 3 3 6 7" xfId="7369"/>
    <cellStyle name="Comma 3 3 6 7 2" xfId="36158"/>
    <cellStyle name="Comma 3 3 6 8" xfId="7370"/>
    <cellStyle name="Comma 3 3 7" xfId="7371"/>
    <cellStyle name="Comma 3 3 7 2" xfId="7372"/>
    <cellStyle name="Comma 3 3 7 2 2" xfId="7373"/>
    <cellStyle name="Comma 3 3 7 2 2 2" xfId="7374"/>
    <cellStyle name="Comma 3 3 7 2 2 2 2" xfId="7375"/>
    <cellStyle name="Comma 3 3 7 2 2 2 3" xfId="7376"/>
    <cellStyle name="Comma 3 3 7 2 2 3" xfId="7377"/>
    <cellStyle name="Comma 3 3 7 2 2 3 2" xfId="7378"/>
    <cellStyle name="Comma 3 3 7 2 2 4" xfId="7379"/>
    <cellStyle name="Comma 3 3 7 2 3" xfId="7380"/>
    <cellStyle name="Comma 3 3 7 2 3 2" xfId="7381"/>
    <cellStyle name="Comma 3 3 7 2 3 2 2" xfId="7382"/>
    <cellStyle name="Comma 3 3 7 2 3 3" xfId="7383"/>
    <cellStyle name="Comma 3 3 7 2 4" xfId="7384"/>
    <cellStyle name="Comma 3 3 7 2 4 2" xfId="7385"/>
    <cellStyle name="Comma 3 3 7 2 4 3" xfId="7386"/>
    <cellStyle name="Comma 3 3 7 2 5" xfId="7387"/>
    <cellStyle name="Comma 3 3 7 2 5 2" xfId="7388"/>
    <cellStyle name="Comma 3 3 7 2 6" xfId="7389"/>
    <cellStyle name="Comma 3 3 7 2 6 2" xfId="36159"/>
    <cellStyle name="Comma 3 3 7 2 7" xfId="7390"/>
    <cellStyle name="Comma 3 3 7 3" xfId="7391"/>
    <cellStyle name="Comma 3 3 7 3 2" xfId="7392"/>
    <cellStyle name="Comma 3 3 7 3 2 2" xfId="7393"/>
    <cellStyle name="Comma 3 3 7 3 2 2 2" xfId="7394"/>
    <cellStyle name="Comma 3 3 7 3 2 3" xfId="7395"/>
    <cellStyle name="Comma 3 3 7 3 3" xfId="7396"/>
    <cellStyle name="Comma 3 3 7 3 3 2" xfId="7397"/>
    <cellStyle name="Comma 3 3 7 3 4" xfId="7398"/>
    <cellStyle name="Comma 3 3 7 4" xfId="7399"/>
    <cellStyle name="Comma 3 3 7 4 2" xfId="7400"/>
    <cellStyle name="Comma 3 3 7 4 2 2" xfId="7401"/>
    <cellStyle name="Comma 3 3 7 4 3" xfId="7402"/>
    <cellStyle name="Comma 3 3 7 5" xfId="7403"/>
    <cellStyle name="Comma 3 3 7 5 2" xfId="7404"/>
    <cellStyle name="Comma 3 3 7 5 2 2" xfId="7405"/>
    <cellStyle name="Comma 3 3 7 5 3" xfId="7406"/>
    <cellStyle name="Comma 3 3 7 6" xfId="7407"/>
    <cellStyle name="Comma 3 3 7 6 2" xfId="7408"/>
    <cellStyle name="Comma 3 3 7 7" xfId="7409"/>
    <cellStyle name="Comma 3 3 7 7 2" xfId="36160"/>
    <cellStyle name="Comma 3 3 7 8" xfId="7410"/>
    <cellStyle name="Comma 3 3 8" xfId="7411"/>
    <cellStyle name="Comma 3 3 8 2" xfId="7412"/>
    <cellStyle name="Comma 3 3 8 2 2" xfId="7413"/>
    <cellStyle name="Comma 3 3 8 2 2 2" xfId="7414"/>
    <cellStyle name="Comma 3 3 8 2 2 3" xfId="7415"/>
    <cellStyle name="Comma 3 3 8 2 3" xfId="7416"/>
    <cellStyle name="Comma 3 3 8 2 3 2" xfId="7417"/>
    <cellStyle name="Comma 3 3 8 2 4" xfId="7418"/>
    <cellStyle name="Comma 3 3 8 3" xfId="7419"/>
    <cellStyle name="Comma 3 3 8 3 2" xfId="7420"/>
    <cellStyle name="Comma 3 3 8 3 2 2" xfId="7421"/>
    <cellStyle name="Comma 3 3 8 3 3" xfId="7422"/>
    <cellStyle name="Comma 3 3 8 4" xfId="7423"/>
    <cellStyle name="Comma 3 3 8 4 2" xfId="7424"/>
    <cellStyle name="Comma 3 3 8 4 3" xfId="7425"/>
    <cellStyle name="Comma 3 3 8 5" xfId="7426"/>
    <cellStyle name="Comma 3 3 8 5 2" xfId="7427"/>
    <cellStyle name="Comma 3 3 8 6" xfId="7428"/>
    <cellStyle name="Comma 3 3 8 6 2" xfId="36161"/>
    <cellStyle name="Comma 3 3 8 7" xfId="7429"/>
    <cellStyle name="Comma 3 3 9" xfId="7430"/>
    <cellStyle name="Comma 3 3 9 2" xfId="7431"/>
    <cellStyle name="Comma 3 3 9 2 2" xfId="7432"/>
    <cellStyle name="Comma 3 3 9 2 2 2" xfId="7433"/>
    <cellStyle name="Comma 3 3 9 2 3" xfId="7434"/>
    <cellStyle name="Comma 3 3 9 3" xfId="7435"/>
    <cellStyle name="Comma 3 3 9 3 2" xfId="7436"/>
    <cellStyle name="Comma 3 3 9 4" xfId="7437"/>
    <cellStyle name="Comma 3 4" xfId="7438"/>
    <cellStyle name="Comma 3 4 10" xfId="7439"/>
    <cellStyle name="Comma 3 4 10 2" xfId="7440"/>
    <cellStyle name="Comma 3 4 10 2 2" xfId="7441"/>
    <cellStyle name="Comma 3 4 10 3" xfId="7442"/>
    <cellStyle name="Comma 3 4 11" xfId="7443"/>
    <cellStyle name="Comma 3 4 11 2" xfId="7444"/>
    <cellStyle name="Comma 3 4 11 2 2" xfId="7445"/>
    <cellStyle name="Comma 3 4 11 3" xfId="7446"/>
    <cellStyle name="Comma 3 4 12" xfId="7447"/>
    <cellStyle name="Comma 3 4 12 2" xfId="7448"/>
    <cellStyle name="Comma 3 4 13" xfId="7449"/>
    <cellStyle name="Comma 3 4 13 2" xfId="36162"/>
    <cellStyle name="Comma 3 4 14" xfId="7450"/>
    <cellStyle name="Comma 3 4 2" xfId="7451"/>
    <cellStyle name="Comma 3 4 2 10" xfId="7452"/>
    <cellStyle name="Comma 3 4 2 2" xfId="7453"/>
    <cellStyle name="Comma 3 4 2 2 2" xfId="7454"/>
    <cellStyle name="Comma 3 4 2 2 2 2" xfId="7455"/>
    <cellStyle name="Comma 3 4 2 2 2 2 2" xfId="7456"/>
    <cellStyle name="Comma 3 4 2 2 2 2 2 2" xfId="7457"/>
    <cellStyle name="Comma 3 4 2 2 2 2 2 2 2" xfId="7458"/>
    <cellStyle name="Comma 3 4 2 2 2 2 2 2 3" xfId="7459"/>
    <cellStyle name="Comma 3 4 2 2 2 2 2 3" xfId="7460"/>
    <cellStyle name="Comma 3 4 2 2 2 2 2 3 2" xfId="7461"/>
    <cellStyle name="Comma 3 4 2 2 2 2 2 4" xfId="7462"/>
    <cellStyle name="Comma 3 4 2 2 2 2 3" xfId="7463"/>
    <cellStyle name="Comma 3 4 2 2 2 2 3 2" xfId="7464"/>
    <cellStyle name="Comma 3 4 2 2 2 2 3 2 2" xfId="7465"/>
    <cellStyle name="Comma 3 4 2 2 2 2 3 3" xfId="7466"/>
    <cellStyle name="Comma 3 4 2 2 2 2 4" xfId="7467"/>
    <cellStyle name="Comma 3 4 2 2 2 2 4 2" xfId="7468"/>
    <cellStyle name="Comma 3 4 2 2 2 2 4 3" xfId="7469"/>
    <cellStyle name="Comma 3 4 2 2 2 2 5" xfId="7470"/>
    <cellStyle name="Comma 3 4 2 2 2 2 5 2" xfId="7471"/>
    <cellStyle name="Comma 3 4 2 2 2 2 6" xfId="7472"/>
    <cellStyle name="Comma 3 4 2 2 2 2 6 2" xfId="36163"/>
    <cellStyle name="Comma 3 4 2 2 2 2 7" xfId="7473"/>
    <cellStyle name="Comma 3 4 2 2 2 3" xfId="7474"/>
    <cellStyle name="Comma 3 4 2 2 2 3 2" xfId="7475"/>
    <cellStyle name="Comma 3 4 2 2 2 3 2 2" xfId="7476"/>
    <cellStyle name="Comma 3 4 2 2 2 3 2 2 2" xfId="7477"/>
    <cellStyle name="Comma 3 4 2 2 2 3 2 3" xfId="7478"/>
    <cellStyle name="Comma 3 4 2 2 2 3 3" xfId="7479"/>
    <cellStyle name="Comma 3 4 2 2 2 3 3 2" xfId="7480"/>
    <cellStyle name="Comma 3 4 2 2 2 3 4" xfId="7481"/>
    <cellStyle name="Comma 3 4 2 2 2 4" xfId="7482"/>
    <cellStyle name="Comma 3 4 2 2 2 4 2" xfId="7483"/>
    <cellStyle name="Comma 3 4 2 2 2 4 2 2" xfId="7484"/>
    <cellStyle name="Comma 3 4 2 2 2 4 3" xfId="7485"/>
    <cellStyle name="Comma 3 4 2 2 2 5" xfId="7486"/>
    <cellStyle name="Comma 3 4 2 2 2 5 2" xfId="7487"/>
    <cellStyle name="Comma 3 4 2 2 2 5 2 2" xfId="7488"/>
    <cellStyle name="Comma 3 4 2 2 2 5 3" xfId="7489"/>
    <cellStyle name="Comma 3 4 2 2 2 6" xfId="7490"/>
    <cellStyle name="Comma 3 4 2 2 2 6 2" xfId="7491"/>
    <cellStyle name="Comma 3 4 2 2 2 7" xfId="7492"/>
    <cellStyle name="Comma 3 4 2 2 2 7 2" xfId="36164"/>
    <cellStyle name="Comma 3 4 2 2 2 8" xfId="7493"/>
    <cellStyle name="Comma 3 4 2 2 3" xfId="7494"/>
    <cellStyle name="Comma 3 4 2 2 3 2" xfId="7495"/>
    <cellStyle name="Comma 3 4 2 2 3 2 2" xfId="7496"/>
    <cellStyle name="Comma 3 4 2 2 3 2 2 2" xfId="7497"/>
    <cellStyle name="Comma 3 4 2 2 3 2 2 3" xfId="7498"/>
    <cellStyle name="Comma 3 4 2 2 3 2 3" xfId="7499"/>
    <cellStyle name="Comma 3 4 2 2 3 2 3 2" xfId="7500"/>
    <cellStyle name="Comma 3 4 2 2 3 2 4" xfId="7501"/>
    <cellStyle name="Comma 3 4 2 2 3 3" xfId="7502"/>
    <cellStyle name="Comma 3 4 2 2 3 3 2" xfId="7503"/>
    <cellStyle name="Comma 3 4 2 2 3 3 2 2" xfId="7504"/>
    <cellStyle name="Comma 3 4 2 2 3 3 3" xfId="7505"/>
    <cellStyle name="Comma 3 4 2 2 3 4" xfId="7506"/>
    <cellStyle name="Comma 3 4 2 2 3 4 2" xfId="7507"/>
    <cellStyle name="Comma 3 4 2 2 3 4 3" xfId="7508"/>
    <cellStyle name="Comma 3 4 2 2 3 5" xfId="7509"/>
    <cellStyle name="Comma 3 4 2 2 3 5 2" xfId="7510"/>
    <cellStyle name="Comma 3 4 2 2 3 6" xfId="7511"/>
    <cellStyle name="Comma 3 4 2 2 3 6 2" xfId="36165"/>
    <cellStyle name="Comma 3 4 2 2 3 7" xfId="7512"/>
    <cellStyle name="Comma 3 4 2 2 4" xfId="7513"/>
    <cellStyle name="Comma 3 4 2 2 4 2" xfId="7514"/>
    <cellStyle name="Comma 3 4 2 2 4 2 2" xfId="7515"/>
    <cellStyle name="Comma 3 4 2 2 4 2 2 2" xfId="7516"/>
    <cellStyle name="Comma 3 4 2 2 4 2 3" xfId="7517"/>
    <cellStyle name="Comma 3 4 2 2 4 3" xfId="7518"/>
    <cellStyle name="Comma 3 4 2 2 4 3 2" xfId="7519"/>
    <cellStyle name="Comma 3 4 2 2 4 4" xfId="7520"/>
    <cellStyle name="Comma 3 4 2 2 5" xfId="7521"/>
    <cellStyle name="Comma 3 4 2 2 5 2" xfId="7522"/>
    <cellStyle name="Comma 3 4 2 2 5 2 2" xfId="7523"/>
    <cellStyle name="Comma 3 4 2 2 5 3" xfId="7524"/>
    <cellStyle name="Comma 3 4 2 2 6" xfId="7525"/>
    <cellStyle name="Comma 3 4 2 2 6 2" xfId="7526"/>
    <cellStyle name="Comma 3 4 2 2 6 2 2" xfId="7527"/>
    <cellStyle name="Comma 3 4 2 2 6 3" xfId="7528"/>
    <cellStyle name="Comma 3 4 2 2 7" xfId="7529"/>
    <cellStyle name="Comma 3 4 2 2 7 2" xfId="7530"/>
    <cellStyle name="Comma 3 4 2 2 8" xfId="7531"/>
    <cellStyle name="Comma 3 4 2 2 8 2" xfId="36166"/>
    <cellStyle name="Comma 3 4 2 2 9" xfId="7532"/>
    <cellStyle name="Comma 3 4 2 3" xfId="7533"/>
    <cellStyle name="Comma 3 4 2 3 2" xfId="7534"/>
    <cellStyle name="Comma 3 4 2 3 2 2" xfId="7535"/>
    <cellStyle name="Comma 3 4 2 3 2 2 2" xfId="7536"/>
    <cellStyle name="Comma 3 4 2 3 2 2 2 2" xfId="7537"/>
    <cellStyle name="Comma 3 4 2 3 2 2 2 3" xfId="7538"/>
    <cellStyle name="Comma 3 4 2 3 2 2 3" xfId="7539"/>
    <cellStyle name="Comma 3 4 2 3 2 2 3 2" xfId="7540"/>
    <cellStyle name="Comma 3 4 2 3 2 2 4" xfId="7541"/>
    <cellStyle name="Comma 3 4 2 3 2 3" xfId="7542"/>
    <cellStyle name="Comma 3 4 2 3 2 3 2" xfId="7543"/>
    <cellStyle name="Comma 3 4 2 3 2 3 2 2" xfId="7544"/>
    <cellStyle name="Comma 3 4 2 3 2 3 3" xfId="7545"/>
    <cellStyle name="Comma 3 4 2 3 2 4" xfId="7546"/>
    <cellStyle name="Comma 3 4 2 3 2 4 2" xfId="7547"/>
    <cellStyle name="Comma 3 4 2 3 2 4 3" xfId="7548"/>
    <cellStyle name="Comma 3 4 2 3 2 5" xfId="7549"/>
    <cellStyle name="Comma 3 4 2 3 2 5 2" xfId="7550"/>
    <cellStyle name="Comma 3 4 2 3 2 6" xfId="7551"/>
    <cellStyle name="Comma 3 4 2 3 2 6 2" xfId="36167"/>
    <cellStyle name="Comma 3 4 2 3 2 7" xfId="7552"/>
    <cellStyle name="Comma 3 4 2 3 3" xfId="7553"/>
    <cellStyle name="Comma 3 4 2 3 3 2" xfId="7554"/>
    <cellStyle name="Comma 3 4 2 3 3 2 2" xfId="7555"/>
    <cellStyle name="Comma 3 4 2 3 3 2 2 2" xfId="7556"/>
    <cellStyle name="Comma 3 4 2 3 3 2 3" xfId="7557"/>
    <cellStyle name="Comma 3 4 2 3 3 3" xfId="7558"/>
    <cellStyle name="Comma 3 4 2 3 3 3 2" xfId="7559"/>
    <cellStyle name="Comma 3 4 2 3 3 4" xfId="7560"/>
    <cellStyle name="Comma 3 4 2 3 4" xfId="7561"/>
    <cellStyle name="Comma 3 4 2 3 4 2" xfId="7562"/>
    <cellStyle name="Comma 3 4 2 3 4 2 2" xfId="7563"/>
    <cellStyle name="Comma 3 4 2 3 4 3" xfId="7564"/>
    <cellStyle name="Comma 3 4 2 3 5" xfId="7565"/>
    <cellStyle name="Comma 3 4 2 3 5 2" xfId="7566"/>
    <cellStyle name="Comma 3 4 2 3 5 2 2" xfId="7567"/>
    <cellStyle name="Comma 3 4 2 3 5 3" xfId="7568"/>
    <cellStyle name="Comma 3 4 2 3 6" xfId="7569"/>
    <cellStyle name="Comma 3 4 2 3 6 2" xfId="7570"/>
    <cellStyle name="Comma 3 4 2 3 7" xfId="7571"/>
    <cellStyle name="Comma 3 4 2 3 7 2" xfId="36168"/>
    <cellStyle name="Comma 3 4 2 3 8" xfId="7572"/>
    <cellStyle name="Comma 3 4 2 4" xfId="7573"/>
    <cellStyle name="Comma 3 4 2 4 2" xfId="7574"/>
    <cellStyle name="Comma 3 4 2 4 2 2" xfId="7575"/>
    <cellStyle name="Comma 3 4 2 4 2 2 2" xfId="7576"/>
    <cellStyle name="Comma 3 4 2 4 2 2 3" xfId="7577"/>
    <cellStyle name="Comma 3 4 2 4 2 3" xfId="7578"/>
    <cellStyle name="Comma 3 4 2 4 2 3 2" xfId="7579"/>
    <cellStyle name="Comma 3 4 2 4 2 4" xfId="7580"/>
    <cellStyle name="Comma 3 4 2 4 3" xfId="7581"/>
    <cellStyle name="Comma 3 4 2 4 3 2" xfId="7582"/>
    <cellStyle name="Comma 3 4 2 4 3 2 2" xfId="7583"/>
    <cellStyle name="Comma 3 4 2 4 3 3" xfId="7584"/>
    <cellStyle name="Comma 3 4 2 4 4" xfId="7585"/>
    <cellStyle name="Comma 3 4 2 4 4 2" xfId="7586"/>
    <cellStyle name="Comma 3 4 2 4 4 3" xfId="7587"/>
    <cellStyle name="Comma 3 4 2 4 5" xfId="7588"/>
    <cellStyle name="Comma 3 4 2 4 5 2" xfId="7589"/>
    <cellStyle name="Comma 3 4 2 4 6" xfId="7590"/>
    <cellStyle name="Comma 3 4 2 4 6 2" xfId="36169"/>
    <cellStyle name="Comma 3 4 2 4 7" xfId="7591"/>
    <cellStyle name="Comma 3 4 2 5" xfId="7592"/>
    <cellStyle name="Comma 3 4 2 5 2" xfId="7593"/>
    <cellStyle name="Comma 3 4 2 5 2 2" xfId="7594"/>
    <cellStyle name="Comma 3 4 2 5 2 2 2" xfId="7595"/>
    <cellStyle name="Comma 3 4 2 5 2 3" xfId="7596"/>
    <cellStyle name="Comma 3 4 2 5 3" xfId="7597"/>
    <cellStyle name="Comma 3 4 2 5 3 2" xfId="7598"/>
    <cellStyle name="Comma 3 4 2 5 4" xfId="7599"/>
    <cellStyle name="Comma 3 4 2 6" xfId="7600"/>
    <cellStyle name="Comma 3 4 2 6 2" xfId="7601"/>
    <cellStyle name="Comma 3 4 2 6 2 2" xfId="7602"/>
    <cellStyle name="Comma 3 4 2 6 3" xfId="7603"/>
    <cellStyle name="Comma 3 4 2 7" xfId="7604"/>
    <cellStyle name="Comma 3 4 2 7 2" xfId="7605"/>
    <cellStyle name="Comma 3 4 2 7 2 2" xfId="7606"/>
    <cellStyle name="Comma 3 4 2 7 3" xfId="7607"/>
    <cellStyle name="Comma 3 4 2 8" xfId="7608"/>
    <cellStyle name="Comma 3 4 2 8 2" xfId="7609"/>
    <cellStyle name="Comma 3 4 2 9" xfId="7610"/>
    <cellStyle name="Comma 3 4 2 9 2" xfId="36170"/>
    <cellStyle name="Comma 3 4 3" xfId="7611"/>
    <cellStyle name="Comma 3 4 3 2" xfId="7612"/>
    <cellStyle name="Comma 3 4 3 2 2" xfId="7613"/>
    <cellStyle name="Comma 3 4 3 2 2 2" xfId="7614"/>
    <cellStyle name="Comma 3 4 3 2 2 2 2" xfId="7615"/>
    <cellStyle name="Comma 3 4 3 2 2 2 2 2" xfId="7616"/>
    <cellStyle name="Comma 3 4 3 2 2 2 2 3" xfId="7617"/>
    <cellStyle name="Comma 3 4 3 2 2 2 3" xfId="7618"/>
    <cellStyle name="Comma 3 4 3 2 2 2 3 2" xfId="7619"/>
    <cellStyle name="Comma 3 4 3 2 2 2 4" xfId="7620"/>
    <cellStyle name="Comma 3 4 3 2 2 3" xfId="7621"/>
    <cellStyle name="Comma 3 4 3 2 2 3 2" xfId="7622"/>
    <cellStyle name="Comma 3 4 3 2 2 3 2 2" xfId="7623"/>
    <cellStyle name="Comma 3 4 3 2 2 3 3" xfId="7624"/>
    <cellStyle name="Comma 3 4 3 2 2 4" xfId="7625"/>
    <cellStyle name="Comma 3 4 3 2 2 4 2" xfId="7626"/>
    <cellStyle name="Comma 3 4 3 2 2 4 3" xfId="7627"/>
    <cellStyle name="Comma 3 4 3 2 2 5" xfId="7628"/>
    <cellStyle name="Comma 3 4 3 2 2 5 2" xfId="7629"/>
    <cellStyle name="Comma 3 4 3 2 2 6" xfId="7630"/>
    <cellStyle name="Comma 3 4 3 2 2 6 2" xfId="36171"/>
    <cellStyle name="Comma 3 4 3 2 2 7" xfId="7631"/>
    <cellStyle name="Comma 3 4 3 2 3" xfId="7632"/>
    <cellStyle name="Comma 3 4 3 2 3 2" xfId="7633"/>
    <cellStyle name="Comma 3 4 3 2 3 2 2" xfId="7634"/>
    <cellStyle name="Comma 3 4 3 2 3 2 2 2" xfId="7635"/>
    <cellStyle name="Comma 3 4 3 2 3 2 3" xfId="7636"/>
    <cellStyle name="Comma 3 4 3 2 3 3" xfId="7637"/>
    <cellStyle name="Comma 3 4 3 2 3 3 2" xfId="7638"/>
    <cellStyle name="Comma 3 4 3 2 3 4" xfId="7639"/>
    <cellStyle name="Comma 3 4 3 2 4" xfId="7640"/>
    <cellStyle name="Comma 3 4 3 2 4 2" xfId="7641"/>
    <cellStyle name="Comma 3 4 3 2 4 2 2" xfId="7642"/>
    <cellStyle name="Comma 3 4 3 2 4 3" xfId="7643"/>
    <cellStyle name="Comma 3 4 3 2 5" xfId="7644"/>
    <cellStyle name="Comma 3 4 3 2 5 2" xfId="7645"/>
    <cellStyle name="Comma 3 4 3 2 5 2 2" xfId="7646"/>
    <cellStyle name="Comma 3 4 3 2 5 3" xfId="7647"/>
    <cellStyle name="Comma 3 4 3 2 6" xfId="7648"/>
    <cellStyle name="Comma 3 4 3 2 6 2" xfId="7649"/>
    <cellStyle name="Comma 3 4 3 2 7" xfId="7650"/>
    <cellStyle name="Comma 3 4 3 2 7 2" xfId="36172"/>
    <cellStyle name="Comma 3 4 3 2 8" xfId="7651"/>
    <cellStyle name="Comma 3 4 3 3" xfId="7652"/>
    <cellStyle name="Comma 3 4 3 3 2" xfId="7653"/>
    <cellStyle name="Comma 3 4 3 3 2 2" xfId="7654"/>
    <cellStyle name="Comma 3 4 3 3 2 2 2" xfId="7655"/>
    <cellStyle name="Comma 3 4 3 3 2 2 3" xfId="7656"/>
    <cellStyle name="Comma 3 4 3 3 2 3" xfId="7657"/>
    <cellStyle name="Comma 3 4 3 3 2 3 2" xfId="7658"/>
    <cellStyle name="Comma 3 4 3 3 2 4" xfId="7659"/>
    <cellStyle name="Comma 3 4 3 3 3" xfId="7660"/>
    <cellStyle name="Comma 3 4 3 3 3 2" xfId="7661"/>
    <cellStyle name="Comma 3 4 3 3 3 2 2" xfId="7662"/>
    <cellStyle name="Comma 3 4 3 3 3 3" xfId="7663"/>
    <cellStyle name="Comma 3 4 3 3 4" xfId="7664"/>
    <cellStyle name="Comma 3 4 3 3 4 2" xfId="7665"/>
    <cellStyle name="Comma 3 4 3 3 4 3" xfId="7666"/>
    <cellStyle name="Comma 3 4 3 3 5" xfId="7667"/>
    <cellStyle name="Comma 3 4 3 3 5 2" xfId="7668"/>
    <cellStyle name="Comma 3 4 3 3 6" xfId="7669"/>
    <cellStyle name="Comma 3 4 3 3 6 2" xfId="36173"/>
    <cellStyle name="Comma 3 4 3 3 7" xfId="7670"/>
    <cellStyle name="Comma 3 4 3 4" xfId="7671"/>
    <cellStyle name="Comma 3 4 3 4 2" xfId="7672"/>
    <cellStyle name="Comma 3 4 3 4 2 2" xfId="7673"/>
    <cellStyle name="Comma 3 4 3 4 2 2 2" xfId="7674"/>
    <cellStyle name="Comma 3 4 3 4 2 3" xfId="7675"/>
    <cellStyle name="Comma 3 4 3 4 3" xfId="7676"/>
    <cellStyle name="Comma 3 4 3 4 3 2" xfId="7677"/>
    <cellStyle name="Comma 3 4 3 4 4" xfId="7678"/>
    <cellStyle name="Comma 3 4 3 5" xfId="7679"/>
    <cellStyle name="Comma 3 4 3 5 2" xfId="7680"/>
    <cellStyle name="Comma 3 4 3 5 2 2" xfId="7681"/>
    <cellStyle name="Comma 3 4 3 5 3" xfId="7682"/>
    <cellStyle name="Comma 3 4 3 6" xfId="7683"/>
    <cellStyle name="Comma 3 4 3 6 2" xfId="7684"/>
    <cellStyle name="Comma 3 4 3 6 2 2" xfId="7685"/>
    <cellStyle name="Comma 3 4 3 6 3" xfId="7686"/>
    <cellStyle name="Comma 3 4 3 7" xfId="7687"/>
    <cellStyle name="Comma 3 4 3 7 2" xfId="7688"/>
    <cellStyle name="Comma 3 4 3 8" xfId="7689"/>
    <cellStyle name="Comma 3 4 3 8 2" xfId="36174"/>
    <cellStyle name="Comma 3 4 3 9" xfId="7690"/>
    <cellStyle name="Comma 3 4 4" xfId="7691"/>
    <cellStyle name="Comma 3 4 4 2" xfId="7692"/>
    <cellStyle name="Comma 3 4 4 2 2" xfId="7693"/>
    <cellStyle name="Comma 3 4 4 2 2 2" xfId="7694"/>
    <cellStyle name="Comma 3 4 4 2 2 2 2" xfId="7695"/>
    <cellStyle name="Comma 3 4 4 2 2 2 2 2" xfId="7696"/>
    <cellStyle name="Comma 3 4 4 2 2 2 2 3" xfId="7697"/>
    <cellStyle name="Comma 3 4 4 2 2 2 3" xfId="7698"/>
    <cellStyle name="Comma 3 4 4 2 2 2 3 2" xfId="7699"/>
    <cellStyle name="Comma 3 4 4 2 2 2 4" xfId="7700"/>
    <cellStyle name="Comma 3 4 4 2 2 3" xfId="7701"/>
    <cellStyle name="Comma 3 4 4 2 2 3 2" xfId="7702"/>
    <cellStyle name="Comma 3 4 4 2 2 3 2 2" xfId="7703"/>
    <cellStyle name="Comma 3 4 4 2 2 3 3" xfId="7704"/>
    <cellStyle name="Comma 3 4 4 2 2 4" xfId="7705"/>
    <cellStyle name="Comma 3 4 4 2 2 4 2" xfId="7706"/>
    <cellStyle name="Comma 3 4 4 2 2 4 3" xfId="7707"/>
    <cellStyle name="Comma 3 4 4 2 2 5" xfId="7708"/>
    <cellStyle name="Comma 3 4 4 2 2 5 2" xfId="7709"/>
    <cellStyle name="Comma 3 4 4 2 2 6" xfId="7710"/>
    <cellStyle name="Comma 3 4 4 2 2 6 2" xfId="36175"/>
    <cellStyle name="Comma 3 4 4 2 2 7" xfId="7711"/>
    <cellStyle name="Comma 3 4 4 2 3" xfId="7712"/>
    <cellStyle name="Comma 3 4 4 2 3 2" xfId="7713"/>
    <cellStyle name="Comma 3 4 4 2 3 2 2" xfId="7714"/>
    <cellStyle name="Comma 3 4 4 2 3 2 2 2" xfId="7715"/>
    <cellStyle name="Comma 3 4 4 2 3 2 3" xfId="7716"/>
    <cellStyle name="Comma 3 4 4 2 3 3" xfId="7717"/>
    <cellStyle name="Comma 3 4 4 2 3 3 2" xfId="7718"/>
    <cellStyle name="Comma 3 4 4 2 3 4" xfId="7719"/>
    <cellStyle name="Comma 3 4 4 2 4" xfId="7720"/>
    <cellStyle name="Comma 3 4 4 2 4 2" xfId="7721"/>
    <cellStyle name="Comma 3 4 4 2 4 2 2" xfId="7722"/>
    <cellStyle name="Comma 3 4 4 2 4 3" xfId="7723"/>
    <cellStyle name="Comma 3 4 4 2 5" xfId="7724"/>
    <cellStyle name="Comma 3 4 4 2 5 2" xfId="7725"/>
    <cellStyle name="Comma 3 4 4 2 5 2 2" xfId="7726"/>
    <cellStyle name="Comma 3 4 4 2 5 3" xfId="7727"/>
    <cellStyle name="Comma 3 4 4 2 6" xfId="7728"/>
    <cellStyle name="Comma 3 4 4 2 6 2" xfId="7729"/>
    <cellStyle name="Comma 3 4 4 2 7" xfId="7730"/>
    <cellStyle name="Comma 3 4 4 2 7 2" xfId="36176"/>
    <cellStyle name="Comma 3 4 4 2 8" xfId="7731"/>
    <cellStyle name="Comma 3 4 4 3" xfId="7732"/>
    <cellStyle name="Comma 3 4 4 3 2" xfId="7733"/>
    <cellStyle name="Comma 3 4 4 3 2 2" xfId="7734"/>
    <cellStyle name="Comma 3 4 4 3 2 2 2" xfId="7735"/>
    <cellStyle name="Comma 3 4 4 3 2 2 3" xfId="7736"/>
    <cellStyle name="Comma 3 4 4 3 2 3" xfId="7737"/>
    <cellStyle name="Comma 3 4 4 3 2 3 2" xfId="7738"/>
    <cellStyle name="Comma 3 4 4 3 2 4" xfId="7739"/>
    <cellStyle name="Comma 3 4 4 3 3" xfId="7740"/>
    <cellStyle name="Comma 3 4 4 3 3 2" xfId="7741"/>
    <cellStyle name="Comma 3 4 4 3 3 2 2" xfId="7742"/>
    <cellStyle name="Comma 3 4 4 3 3 3" xfId="7743"/>
    <cellStyle name="Comma 3 4 4 3 4" xfId="7744"/>
    <cellStyle name="Comma 3 4 4 3 4 2" xfId="7745"/>
    <cellStyle name="Comma 3 4 4 3 4 3" xfId="7746"/>
    <cellStyle name="Comma 3 4 4 3 5" xfId="7747"/>
    <cellStyle name="Comma 3 4 4 3 5 2" xfId="7748"/>
    <cellStyle name="Comma 3 4 4 3 6" xfId="7749"/>
    <cellStyle name="Comma 3 4 4 3 6 2" xfId="36177"/>
    <cellStyle name="Comma 3 4 4 3 7" xfId="7750"/>
    <cellStyle name="Comma 3 4 4 4" xfId="7751"/>
    <cellStyle name="Comma 3 4 4 4 2" xfId="7752"/>
    <cellStyle name="Comma 3 4 4 4 2 2" xfId="7753"/>
    <cellStyle name="Comma 3 4 4 4 2 2 2" xfId="7754"/>
    <cellStyle name="Comma 3 4 4 4 2 3" xfId="7755"/>
    <cellStyle name="Comma 3 4 4 4 3" xfId="7756"/>
    <cellStyle name="Comma 3 4 4 4 3 2" xfId="7757"/>
    <cellStyle name="Comma 3 4 4 4 4" xfId="7758"/>
    <cellStyle name="Comma 3 4 4 5" xfId="7759"/>
    <cellStyle name="Comma 3 4 4 5 2" xfId="7760"/>
    <cellStyle name="Comma 3 4 4 5 2 2" xfId="7761"/>
    <cellStyle name="Comma 3 4 4 5 3" xfId="7762"/>
    <cellStyle name="Comma 3 4 4 6" xfId="7763"/>
    <cellStyle name="Comma 3 4 4 6 2" xfId="7764"/>
    <cellStyle name="Comma 3 4 4 6 2 2" xfId="7765"/>
    <cellStyle name="Comma 3 4 4 6 3" xfId="7766"/>
    <cellStyle name="Comma 3 4 4 7" xfId="7767"/>
    <cellStyle name="Comma 3 4 4 7 2" xfId="7768"/>
    <cellStyle name="Comma 3 4 4 8" xfId="7769"/>
    <cellStyle name="Comma 3 4 4 8 2" xfId="36178"/>
    <cellStyle name="Comma 3 4 4 9" xfId="7770"/>
    <cellStyle name="Comma 3 4 5" xfId="7771"/>
    <cellStyle name="Comma 3 4 5 2" xfId="7772"/>
    <cellStyle name="Comma 3 4 5 2 2" xfId="7773"/>
    <cellStyle name="Comma 3 4 5 2 2 2" xfId="7774"/>
    <cellStyle name="Comma 3 4 5 2 2 2 2" xfId="7775"/>
    <cellStyle name="Comma 3 4 5 2 2 2 3" xfId="7776"/>
    <cellStyle name="Comma 3 4 5 2 2 3" xfId="7777"/>
    <cellStyle name="Comma 3 4 5 2 2 3 2" xfId="7778"/>
    <cellStyle name="Comma 3 4 5 2 2 4" xfId="7779"/>
    <cellStyle name="Comma 3 4 5 2 3" xfId="7780"/>
    <cellStyle name="Comma 3 4 5 2 3 2" xfId="7781"/>
    <cellStyle name="Comma 3 4 5 2 3 2 2" xfId="7782"/>
    <cellStyle name="Comma 3 4 5 2 3 3" xfId="7783"/>
    <cellStyle name="Comma 3 4 5 2 4" xfId="7784"/>
    <cellStyle name="Comma 3 4 5 2 4 2" xfId="7785"/>
    <cellStyle name="Comma 3 4 5 2 4 3" xfId="7786"/>
    <cellStyle name="Comma 3 4 5 2 5" xfId="7787"/>
    <cellStyle name="Comma 3 4 5 2 5 2" xfId="7788"/>
    <cellStyle name="Comma 3 4 5 2 6" xfId="7789"/>
    <cellStyle name="Comma 3 4 5 2 6 2" xfId="36179"/>
    <cellStyle name="Comma 3 4 5 2 7" xfId="7790"/>
    <cellStyle name="Comma 3 4 5 3" xfId="7791"/>
    <cellStyle name="Comma 3 4 5 3 2" xfId="7792"/>
    <cellStyle name="Comma 3 4 5 3 2 2" xfId="7793"/>
    <cellStyle name="Comma 3 4 5 3 2 2 2" xfId="7794"/>
    <cellStyle name="Comma 3 4 5 3 2 3" xfId="7795"/>
    <cellStyle name="Comma 3 4 5 3 3" xfId="7796"/>
    <cellStyle name="Comma 3 4 5 3 3 2" xfId="7797"/>
    <cellStyle name="Comma 3 4 5 3 4" xfId="7798"/>
    <cellStyle name="Comma 3 4 5 4" xfId="7799"/>
    <cellStyle name="Comma 3 4 5 4 2" xfId="7800"/>
    <cellStyle name="Comma 3 4 5 4 2 2" xfId="7801"/>
    <cellStyle name="Comma 3 4 5 4 3" xfId="7802"/>
    <cellStyle name="Comma 3 4 5 5" xfId="7803"/>
    <cellStyle name="Comma 3 4 5 5 2" xfId="7804"/>
    <cellStyle name="Comma 3 4 5 5 2 2" xfId="7805"/>
    <cellStyle name="Comma 3 4 5 5 3" xfId="7806"/>
    <cellStyle name="Comma 3 4 5 6" xfId="7807"/>
    <cellStyle name="Comma 3 4 5 6 2" xfId="7808"/>
    <cellStyle name="Comma 3 4 5 7" xfId="7809"/>
    <cellStyle name="Comma 3 4 5 7 2" xfId="36180"/>
    <cellStyle name="Comma 3 4 5 8" xfId="7810"/>
    <cellStyle name="Comma 3 4 6" xfId="7811"/>
    <cellStyle name="Comma 3 4 6 2" xfId="7812"/>
    <cellStyle name="Comma 3 4 6 2 2" xfId="7813"/>
    <cellStyle name="Comma 3 4 6 2 2 2" xfId="7814"/>
    <cellStyle name="Comma 3 4 6 2 2 2 2" xfId="7815"/>
    <cellStyle name="Comma 3 4 6 2 2 2 3" xfId="7816"/>
    <cellStyle name="Comma 3 4 6 2 2 3" xfId="7817"/>
    <cellStyle name="Comma 3 4 6 2 2 3 2" xfId="7818"/>
    <cellStyle name="Comma 3 4 6 2 2 4" xfId="7819"/>
    <cellStyle name="Comma 3 4 6 2 3" xfId="7820"/>
    <cellStyle name="Comma 3 4 6 2 3 2" xfId="7821"/>
    <cellStyle name="Comma 3 4 6 2 3 2 2" xfId="7822"/>
    <cellStyle name="Comma 3 4 6 2 3 3" xfId="7823"/>
    <cellStyle name="Comma 3 4 6 2 4" xfId="7824"/>
    <cellStyle name="Comma 3 4 6 2 4 2" xfId="7825"/>
    <cellStyle name="Comma 3 4 6 2 4 3" xfId="7826"/>
    <cellStyle name="Comma 3 4 6 2 5" xfId="7827"/>
    <cellStyle name="Comma 3 4 6 2 5 2" xfId="7828"/>
    <cellStyle name="Comma 3 4 6 2 6" xfId="7829"/>
    <cellStyle name="Comma 3 4 6 2 6 2" xfId="36181"/>
    <cellStyle name="Comma 3 4 6 2 7" xfId="7830"/>
    <cellStyle name="Comma 3 4 6 3" xfId="7831"/>
    <cellStyle name="Comma 3 4 6 3 2" xfId="7832"/>
    <cellStyle name="Comma 3 4 6 3 2 2" xfId="7833"/>
    <cellStyle name="Comma 3 4 6 3 2 2 2" xfId="7834"/>
    <cellStyle name="Comma 3 4 6 3 2 3" xfId="7835"/>
    <cellStyle name="Comma 3 4 6 3 3" xfId="7836"/>
    <cellStyle name="Comma 3 4 6 3 3 2" xfId="7837"/>
    <cellStyle name="Comma 3 4 6 3 4" xfId="7838"/>
    <cellStyle name="Comma 3 4 6 4" xfId="7839"/>
    <cellStyle name="Comma 3 4 6 4 2" xfId="7840"/>
    <cellStyle name="Comma 3 4 6 4 2 2" xfId="7841"/>
    <cellStyle name="Comma 3 4 6 4 3" xfId="7842"/>
    <cellStyle name="Comma 3 4 6 5" xfId="7843"/>
    <cellStyle name="Comma 3 4 6 5 2" xfId="7844"/>
    <cellStyle name="Comma 3 4 6 5 2 2" xfId="7845"/>
    <cellStyle name="Comma 3 4 6 5 3" xfId="7846"/>
    <cellStyle name="Comma 3 4 6 6" xfId="7847"/>
    <cellStyle name="Comma 3 4 6 6 2" xfId="7848"/>
    <cellStyle name="Comma 3 4 6 7" xfId="7849"/>
    <cellStyle name="Comma 3 4 6 7 2" xfId="36182"/>
    <cellStyle name="Comma 3 4 6 8" xfId="7850"/>
    <cellStyle name="Comma 3 4 7" xfId="7851"/>
    <cellStyle name="Comma 3 4 7 2" xfId="7852"/>
    <cellStyle name="Comma 3 4 7 2 2" xfId="7853"/>
    <cellStyle name="Comma 3 4 7 2 2 2" xfId="7854"/>
    <cellStyle name="Comma 3 4 7 2 2 2 2" xfId="7855"/>
    <cellStyle name="Comma 3 4 7 2 2 2 3" xfId="7856"/>
    <cellStyle name="Comma 3 4 7 2 2 3" xfId="7857"/>
    <cellStyle name="Comma 3 4 7 2 2 3 2" xfId="7858"/>
    <cellStyle name="Comma 3 4 7 2 2 4" xfId="7859"/>
    <cellStyle name="Comma 3 4 7 2 3" xfId="7860"/>
    <cellStyle name="Comma 3 4 7 2 3 2" xfId="7861"/>
    <cellStyle name="Comma 3 4 7 2 3 2 2" xfId="7862"/>
    <cellStyle name="Comma 3 4 7 2 3 3" xfId="7863"/>
    <cellStyle name="Comma 3 4 7 2 4" xfId="7864"/>
    <cellStyle name="Comma 3 4 7 2 4 2" xfId="7865"/>
    <cellStyle name="Comma 3 4 7 2 4 3" xfId="7866"/>
    <cellStyle name="Comma 3 4 7 2 5" xfId="7867"/>
    <cellStyle name="Comma 3 4 7 2 5 2" xfId="7868"/>
    <cellStyle name="Comma 3 4 7 2 6" xfId="7869"/>
    <cellStyle name="Comma 3 4 7 2 6 2" xfId="36183"/>
    <cellStyle name="Comma 3 4 7 2 7" xfId="7870"/>
    <cellStyle name="Comma 3 4 7 3" xfId="7871"/>
    <cellStyle name="Comma 3 4 7 3 2" xfId="7872"/>
    <cellStyle name="Comma 3 4 7 3 2 2" xfId="7873"/>
    <cellStyle name="Comma 3 4 7 3 2 2 2" xfId="7874"/>
    <cellStyle name="Comma 3 4 7 3 2 3" xfId="7875"/>
    <cellStyle name="Comma 3 4 7 3 3" xfId="7876"/>
    <cellStyle name="Comma 3 4 7 3 3 2" xfId="7877"/>
    <cellStyle name="Comma 3 4 7 3 4" xfId="7878"/>
    <cellStyle name="Comma 3 4 7 4" xfId="7879"/>
    <cellStyle name="Comma 3 4 7 4 2" xfId="7880"/>
    <cellStyle name="Comma 3 4 7 4 2 2" xfId="7881"/>
    <cellStyle name="Comma 3 4 7 4 3" xfId="7882"/>
    <cellStyle name="Comma 3 4 7 5" xfId="7883"/>
    <cellStyle name="Comma 3 4 7 5 2" xfId="7884"/>
    <cellStyle name="Comma 3 4 7 5 2 2" xfId="7885"/>
    <cellStyle name="Comma 3 4 7 5 3" xfId="7886"/>
    <cellStyle name="Comma 3 4 7 6" xfId="7887"/>
    <cellStyle name="Comma 3 4 7 6 2" xfId="7888"/>
    <cellStyle name="Comma 3 4 7 7" xfId="7889"/>
    <cellStyle name="Comma 3 4 7 7 2" xfId="36184"/>
    <cellStyle name="Comma 3 4 7 8" xfId="7890"/>
    <cellStyle name="Comma 3 4 8" xfId="7891"/>
    <cellStyle name="Comma 3 4 8 2" xfId="7892"/>
    <cellStyle name="Comma 3 4 8 2 2" xfId="7893"/>
    <cellStyle name="Comma 3 4 8 2 2 2" xfId="7894"/>
    <cellStyle name="Comma 3 4 8 2 2 3" xfId="7895"/>
    <cellStyle name="Comma 3 4 8 2 3" xfId="7896"/>
    <cellStyle name="Comma 3 4 8 2 3 2" xfId="7897"/>
    <cellStyle name="Comma 3 4 8 2 4" xfId="7898"/>
    <cellStyle name="Comma 3 4 8 3" xfId="7899"/>
    <cellStyle name="Comma 3 4 8 3 2" xfId="7900"/>
    <cellStyle name="Comma 3 4 8 3 2 2" xfId="7901"/>
    <cellStyle name="Comma 3 4 8 3 3" xfId="7902"/>
    <cellStyle name="Comma 3 4 8 4" xfId="7903"/>
    <cellStyle name="Comma 3 4 8 4 2" xfId="7904"/>
    <cellStyle name="Comma 3 4 8 4 3" xfId="7905"/>
    <cellStyle name="Comma 3 4 8 5" xfId="7906"/>
    <cellStyle name="Comma 3 4 8 5 2" xfId="7907"/>
    <cellStyle name="Comma 3 4 8 6" xfId="7908"/>
    <cellStyle name="Comma 3 4 8 6 2" xfId="36185"/>
    <cellStyle name="Comma 3 4 8 7" xfId="7909"/>
    <cellStyle name="Comma 3 4 9" xfId="7910"/>
    <cellStyle name="Comma 3 4 9 2" xfId="7911"/>
    <cellStyle name="Comma 3 4 9 2 2" xfId="7912"/>
    <cellStyle name="Comma 3 4 9 2 2 2" xfId="7913"/>
    <cellStyle name="Comma 3 4 9 2 3" xfId="7914"/>
    <cellStyle name="Comma 3 4 9 3" xfId="7915"/>
    <cellStyle name="Comma 3 4 9 3 2" xfId="7916"/>
    <cellStyle name="Comma 3 4 9 4" xfId="7917"/>
    <cellStyle name="Comma 3 5" xfId="7918"/>
    <cellStyle name="Comma 3 5 10" xfId="7919"/>
    <cellStyle name="Comma 3 5 10 2" xfId="7920"/>
    <cellStyle name="Comma 3 5 10 2 2" xfId="7921"/>
    <cellStyle name="Comma 3 5 10 3" xfId="7922"/>
    <cellStyle name="Comma 3 5 11" xfId="7923"/>
    <cellStyle name="Comma 3 5 11 2" xfId="7924"/>
    <cellStyle name="Comma 3 5 11 2 2" xfId="7925"/>
    <cellStyle name="Comma 3 5 11 3" xfId="7926"/>
    <cellStyle name="Comma 3 5 12" xfId="7927"/>
    <cellStyle name="Comma 3 5 12 2" xfId="7928"/>
    <cellStyle name="Comma 3 5 13" xfId="7929"/>
    <cellStyle name="Comma 3 5 13 2" xfId="36186"/>
    <cellStyle name="Comma 3 5 14" xfId="7930"/>
    <cellStyle name="Comma 3 5 2" xfId="7931"/>
    <cellStyle name="Comma 3 5 2 10" xfId="7932"/>
    <cellStyle name="Comma 3 5 2 2" xfId="7933"/>
    <cellStyle name="Comma 3 5 2 2 2" xfId="7934"/>
    <cellStyle name="Comma 3 5 2 2 2 2" xfId="7935"/>
    <cellStyle name="Comma 3 5 2 2 2 2 2" xfId="7936"/>
    <cellStyle name="Comma 3 5 2 2 2 2 2 2" xfId="7937"/>
    <cellStyle name="Comma 3 5 2 2 2 2 2 2 2" xfId="7938"/>
    <cellStyle name="Comma 3 5 2 2 2 2 2 2 3" xfId="7939"/>
    <cellStyle name="Comma 3 5 2 2 2 2 2 3" xfId="7940"/>
    <cellStyle name="Comma 3 5 2 2 2 2 2 3 2" xfId="7941"/>
    <cellStyle name="Comma 3 5 2 2 2 2 2 4" xfId="7942"/>
    <cellStyle name="Comma 3 5 2 2 2 2 3" xfId="7943"/>
    <cellStyle name="Comma 3 5 2 2 2 2 3 2" xfId="7944"/>
    <cellStyle name="Comma 3 5 2 2 2 2 3 2 2" xfId="7945"/>
    <cellStyle name="Comma 3 5 2 2 2 2 3 3" xfId="7946"/>
    <cellStyle name="Comma 3 5 2 2 2 2 4" xfId="7947"/>
    <cellStyle name="Comma 3 5 2 2 2 2 4 2" xfId="7948"/>
    <cellStyle name="Comma 3 5 2 2 2 2 4 3" xfId="7949"/>
    <cellStyle name="Comma 3 5 2 2 2 2 5" xfId="7950"/>
    <cellStyle name="Comma 3 5 2 2 2 2 5 2" xfId="7951"/>
    <cellStyle name="Comma 3 5 2 2 2 2 6" xfId="7952"/>
    <cellStyle name="Comma 3 5 2 2 2 2 6 2" xfId="36187"/>
    <cellStyle name="Comma 3 5 2 2 2 2 7" xfId="7953"/>
    <cellStyle name="Comma 3 5 2 2 2 3" xfId="7954"/>
    <cellStyle name="Comma 3 5 2 2 2 3 2" xfId="7955"/>
    <cellStyle name="Comma 3 5 2 2 2 3 2 2" xfId="7956"/>
    <cellStyle name="Comma 3 5 2 2 2 3 2 2 2" xfId="7957"/>
    <cellStyle name="Comma 3 5 2 2 2 3 2 3" xfId="7958"/>
    <cellStyle name="Comma 3 5 2 2 2 3 3" xfId="7959"/>
    <cellStyle name="Comma 3 5 2 2 2 3 3 2" xfId="7960"/>
    <cellStyle name="Comma 3 5 2 2 2 3 4" xfId="7961"/>
    <cellStyle name="Comma 3 5 2 2 2 4" xfId="7962"/>
    <cellStyle name="Comma 3 5 2 2 2 4 2" xfId="7963"/>
    <cellStyle name="Comma 3 5 2 2 2 4 2 2" xfId="7964"/>
    <cellStyle name="Comma 3 5 2 2 2 4 3" xfId="7965"/>
    <cellStyle name="Comma 3 5 2 2 2 5" xfId="7966"/>
    <cellStyle name="Comma 3 5 2 2 2 5 2" xfId="7967"/>
    <cellStyle name="Comma 3 5 2 2 2 5 2 2" xfId="7968"/>
    <cellStyle name="Comma 3 5 2 2 2 5 3" xfId="7969"/>
    <cellStyle name="Comma 3 5 2 2 2 6" xfId="7970"/>
    <cellStyle name="Comma 3 5 2 2 2 6 2" xfId="7971"/>
    <cellStyle name="Comma 3 5 2 2 2 7" xfId="7972"/>
    <cellStyle name="Comma 3 5 2 2 2 7 2" xfId="36188"/>
    <cellStyle name="Comma 3 5 2 2 2 8" xfId="7973"/>
    <cellStyle name="Comma 3 5 2 2 3" xfId="7974"/>
    <cellStyle name="Comma 3 5 2 2 3 2" xfId="7975"/>
    <cellStyle name="Comma 3 5 2 2 3 2 2" xfId="7976"/>
    <cellStyle name="Comma 3 5 2 2 3 2 2 2" xfId="7977"/>
    <cellStyle name="Comma 3 5 2 2 3 2 2 3" xfId="7978"/>
    <cellStyle name="Comma 3 5 2 2 3 2 3" xfId="7979"/>
    <cellStyle name="Comma 3 5 2 2 3 2 3 2" xfId="7980"/>
    <cellStyle name="Comma 3 5 2 2 3 2 4" xfId="7981"/>
    <cellStyle name="Comma 3 5 2 2 3 3" xfId="7982"/>
    <cellStyle name="Comma 3 5 2 2 3 3 2" xfId="7983"/>
    <cellStyle name="Comma 3 5 2 2 3 3 2 2" xfId="7984"/>
    <cellStyle name="Comma 3 5 2 2 3 3 3" xfId="7985"/>
    <cellStyle name="Comma 3 5 2 2 3 4" xfId="7986"/>
    <cellStyle name="Comma 3 5 2 2 3 4 2" xfId="7987"/>
    <cellStyle name="Comma 3 5 2 2 3 4 3" xfId="7988"/>
    <cellStyle name="Comma 3 5 2 2 3 5" xfId="7989"/>
    <cellStyle name="Comma 3 5 2 2 3 5 2" xfId="7990"/>
    <cellStyle name="Comma 3 5 2 2 3 6" xfId="7991"/>
    <cellStyle name="Comma 3 5 2 2 3 6 2" xfId="36189"/>
    <cellStyle name="Comma 3 5 2 2 3 7" xfId="7992"/>
    <cellStyle name="Comma 3 5 2 2 4" xfId="7993"/>
    <cellStyle name="Comma 3 5 2 2 4 2" xfId="7994"/>
    <cellStyle name="Comma 3 5 2 2 4 2 2" xfId="7995"/>
    <cellStyle name="Comma 3 5 2 2 4 2 2 2" xfId="7996"/>
    <cellStyle name="Comma 3 5 2 2 4 2 3" xfId="7997"/>
    <cellStyle name="Comma 3 5 2 2 4 3" xfId="7998"/>
    <cellStyle name="Comma 3 5 2 2 4 3 2" xfId="7999"/>
    <cellStyle name="Comma 3 5 2 2 4 4" xfId="8000"/>
    <cellStyle name="Comma 3 5 2 2 5" xfId="8001"/>
    <cellStyle name="Comma 3 5 2 2 5 2" xfId="8002"/>
    <cellStyle name="Comma 3 5 2 2 5 2 2" xfId="8003"/>
    <cellStyle name="Comma 3 5 2 2 5 3" xfId="8004"/>
    <cellStyle name="Comma 3 5 2 2 6" xfId="8005"/>
    <cellStyle name="Comma 3 5 2 2 6 2" xfId="8006"/>
    <cellStyle name="Comma 3 5 2 2 6 2 2" xfId="8007"/>
    <cellStyle name="Comma 3 5 2 2 6 3" xfId="8008"/>
    <cellStyle name="Comma 3 5 2 2 7" xfId="8009"/>
    <cellStyle name="Comma 3 5 2 2 7 2" xfId="8010"/>
    <cellStyle name="Comma 3 5 2 2 8" xfId="8011"/>
    <cellStyle name="Comma 3 5 2 2 8 2" xfId="36190"/>
    <cellStyle name="Comma 3 5 2 2 9" xfId="8012"/>
    <cellStyle name="Comma 3 5 2 3" xfId="8013"/>
    <cellStyle name="Comma 3 5 2 3 2" xfId="8014"/>
    <cellStyle name="Comma 3 5 2 3 2 2" xfId="8015"/>
    <cellStyle name="Comma 3 5 2 3 2 2 2" xfId="8016"/>
    <cellStyle name="Comma 3 5 2 3 2 2 2 2" xfId="8017"/>
    <cellStyle name="Comma 3 5 2 3 2 2 2 3" xfId="8018"/>
    <cellStyle name="Comma 3 5 2 3 2 2 3" xfId="8019"/>
    <cellStyle name="Comma 3 5 2 3 2 2 3 2" xfId="8020"/>
    <cellStyle name="Comma 3 5 2 3 2 2 4" xfId="8021"/>
    <cellStyle name="Comma 3 5 2 3 2 3" xfId="8022"/>
    <cellStyle name="Comma 3 5 2 3 2 3 2" xfId="8023"/>
    <cellStyle name="Comma 3 5 2 3 2 3 2 2" xfId="8024"/>
    <cellStyle name="Comma 3 5 2 3 2 3 3" xfId="8025"/>
    <cellStyle name="Comma 3 5 2 3 2 4" xfId="8026"/>
    <cellStyle name="Comma 3 5 2 3 2 4 2" xfId="8027"/>
    <cellStyle name="Comma 3 5 2 3 2 4 3" xfId="8028"/>
    <cellStyle name="Comma 3 5 2 3 2 5" xfId="8029"/>
    <cellStyle name="Comma 3 5 2 3 2 5 2" xfId="8030"/>
    <cellStyle name="Comma 3 5 2 3 2 6" xfId="8031"/>
    <cellStyle name="Comma 3 5 2 3 2 6 2" xfId="36191"/>
    <cellStyle name="Comma 3 5 2 3 2 7" xfId="8032"/>
    <cellStyle name="Comma 3 5 2 3 3" xfId="8033"/>
    <cellStyle name="Comma 3 5 2 3 3 2" xfId="8034"/>
    <cellStyle name="Comma 3 5 2 3 3 2 2" xfId="8035"/>
    <cellStyle name="Comma 3 5 2 3 3 2 2 2" xfId="8036"/>
    <cellStyle name="Comma 3 5 2 3 3 2 3" xfId="8037"/>
    <cellStyle name="Comma 3 5 2 3 3 3" xfId="8038"/>
    <cellStyle name="Comma 3 5 2 3 3 3 2" xfId="8039"/>
    <cellStyle name="Comma 3 5 2 3 3 4" xfId="8040"/>
    <cellStyle name="Comma 3 5 2 3 4" xfId="8041"/>
    <cellStyle name="Comma 3 5 2 3 4 2" xfId="8042"/>
    <cellStyle name="Comma 3 5 2 3 4 2 2" xfId="8043"/>
    <cellStyle name="Comma 3 5 2 3 4 3" xfId="8044"/>
    <cellStyle name="Comma 3 5 2 3 5" xfId="8045"/>
    <cellStyle name="Comma 3 5 2 3 5 2" xfId="8046"/>
    <cellStyle name="Comma 3 5 2 3 5 2 2" xfId="8047"/>
    <cellStyle name="Comma 3 5 2 3 5 3" xfId="8048"/>
    <cellStyle name="Comma 3 5 2 3 6" xfId="8049"/>
    <cellStyle name="Comma 3 5 2 3 6 2" xfId="8050"/>
    <cellStyle name="Comma 3 5 2 3 7" xfId="8051"/>
    <cellStyle name="Comma 3 5 2 3 7 2" xfId="36192"/>
    <cellStyle name="Comma 3 5 2 3 8" xfId="8052"/>
    <cellStyle name="Comma 3 5 2 4" xfId="8053"/>
    <cellStyle name="Comma 3 5 2 4 2" xfId="8054"/>
    <cellStyle name="Comma 3 5 2 4 2 2" xfId="8055"/>
    <cellStyle name="Comma 3 5 2 4 2 2 2" xfId="8056"/>
    <cellStyle name="Comma 3 5 2 4 2 2 3" xfId="8057"/>
    <cellStyle name="Comma 3 5 2 4 2 3" xfId="8058"/>
    <cellStyle name="Comma 3 5 2 4 2 3 2" xfId="8059"/>
    <cellStyle name="Comma 3 5 2 4 2 4" xfId="8060"/>
    <cellStyle name="Comma 3 5 2 4 3" xfId="8061"/>
    <cellStyle name="Comma 3 5 2 4 3 2" xfId="8062"/>
    <cellStyle name="Comma 3 5 2 4 3 2 2" xfId="8063"/>
    <cellStyle name="Comma 3 5 2 4 3 3" xfId="8064"/>
    <cellStyle name="Comma 3 5 2 4 4" xfId="8065"/>
    <cellStyle name="Comma 3 5 2 4 4 2" xfId="8066"/>
    <cellStyle name="Comma 3 5 2 4 4 3" xfId="8067"/>
    <cellStyle name="Comma 3 5 2 4 5" xfId="8068"/>
    <cellStyle name="Comma 3 5 2 4 5 2" xfId="8069"/>
    <cellStyle name="Comma 3 5 2 4 6" xfId="8070"/>
    <cellStyle name="Comma 3 5 2 4 6 2" xfId="36193"/>
    <cellStyle name="Comma 3 5 2 4 7" xfId="8071"/>
    <cellStyle name="Comma 3 5 2 5" xfId="8072"/>
    <cellStyle name="Comma 3 5 2 5 2" xfId="8073"/>
    <cellStyle name="Comma 3 5 2 5 2 2" xfId="8074"/>
    <cellStyle name="Comma 3 5 2 5 2 2 2" xfId="8075"/>
    <cellStyle name="Comma 3 5 2 5 2 3" xfId="8076"/>
    <cellStyle name="Comma 3 5 2 5 3" xfId="8077"/>
    <cellStyle name="Comma 3 5 2 5 3 2" xfId="8078"/>
    <cellStyle name="Comma 3 5 2 5 4" xfId="8079"/>
    <cellStyle name="Comma 3 5 2 6" xfId="8080"/>
    <cellStyle name="Comma 3 5 2 6 2" xfId="8081"/>
    <cellStyle name="Comma 3 5 2 6 2 2" xfId="8082"/>
    <cellStyle name="Comma 3 5 2 6 3" xfId="8083"/>
    <cellStyle name="Comma 3 5 2 7" xfId="8084"/>
    <cellStyle name="Comma 3 5 2 7 2" xfId="8085"/>
    <cellStyle name="Comma 3 5 2 7 2 2" xfId="8086"/>
    <cellStyle name="Comma 3 5 2 7 3" xfId="8087"/>
    <cellStyle name="Comma 3 5 2 8" xfId="8088"/>
    <cellStyle name="Comma 3 5 2 8 2" xfId="8089"/>
    <cellStyle name="Comma 3 5 2 9" xfId="8090"/>
    <cellStyle name="Comma 3 5 2 9 2" xfId="36194"/>
    <cellStyle name="Comma 3 5 3" xfId="8091"/>
    <cellStyle name="Comma 3 5 3 2" xfId="8092"/>
    <cellStyle name="Comma 3 5 3 2 2" xfId="8093"/>
    <cellStyle name="Comma 3 5 3 2 2 2" xfId="8094"/>
    <cellStyle name="Comma 3 5 3 2 2 2 2" xfId="8095"/>
    <cellStyle name="Comma 3 5 3 2 2 2 2 2" xfId="8096"/>
    <cellStyle name="Comma 3 5 3 2 2 2 2 3" xfId="8097"/>
    <cellStyle name="Comma 3 5 3 2 2 2 3" xfId="8098"/>
    <cellStyle name="Comma 3 5 3 2 2 2 3 2" xfId="8099"/>
    <cellStyle name="Comma 3 5 3 2 2 2 4" xfId="8100"/>
    <cellStyle name="Comma 3 5 3 2 2 3" xfId="8101"/>
    <cellStyle name="Comma 3 5 3 2 2 3 2" xfId="8102"/>
    <cellStyle name="Comma 3 5 3 2 2 3 2 2" xfId="8103"/>
    <cellStyle name="Comma 3 5 3 2 2 3 3" xfId="8104"/>
    <cellStyle name="Comma 3 5 3 2 2 4" xfId="8105"/>
    <cellStyle name="Comma 3 5 3 2 2 4 2" xfId="8106"/>
    <cellStyle name="Comma 3 5 3 2 2 4 3" xfId="8107"/>
    <cellStyle name="Comma 3 5 3 2 2 5" xfId="8108"/>
    <cellStyle name="Comma 3 5 3 2 2 5 2" xfId="8109"/>
    <cellStyle name="Comma 3 5 3 2 2 6" xfId="8110"/>
    <cellStyle name="Comma 3 5 3 2 2 6 2" xfId="36195"/>
    <cellStyle name="Comma 3 5 3 2 2 7" xfId="8111"/>
    <cellStyle name="Comma 3 5 3 2 3" xfId="8112"/>
    <cellStyle name="Comma 3 5 3 2 3 2" xfId="8113"/>
    <cellStyle name="Comma 3 5 3 2 3 2 2" xfId="8114"/>
    <cellStyle name="Comma 3 5 3 2 3 2 2 2" xfId="8115"/>
    <cellStyle name="Comma 3 5 3 2 3 2 3" xfId="8116"/>
    <cellStyle name="Comma 3 5 3 2 3 3" xfId="8117"/>
    <cellStyle name="Comma 3 5 3 2 3 3 2" xfId="8118"/>
    <cellStyle name="Comma 3 5 3 2 3 4" xfId="8119"/>
    <cellStyle name="Comma 3 5 3 2 4" xfId="8120"/>
    <cellStyle name="Comma 3 5 3 2 4 2" xfId="8121"/>
    <cellStyle name="Comma 3 5 3 2 4 2 2" xfId="8122"/>
    <cellStyle name="Comma 3 5 3 2 4 3" xfId="8123"/>
    <cellStyle name="Comma 3 5 3 2 5" xfId="8124"/>
    <cellStyle name="Comma 3 5 3 2 5 2" xfId="8125"/>
    <cellStyle name="Comma 3 5 3 2 5 2 2" xfId="8126"/>
    <cellStyle name="Comma 3 5 3 2 5 3" xfId="8127"/>
    <cellStyle name="Comma 3 5 3 2 6" xfId="8128"/>
    <cellStyle name="Comma 3 5 3 2 6 2" xfId="8129"/>
    <cellStyle name="Comma 3 5 3 2 7" xfId="8130"/>
    <cellStyle name="Comma 3 5 3 2 7 2" xfId="36196"/>
    <cellStyle name="Comma 3 5 3 2 8" xfId="8131"/>
    <cellStyle name="Comma 3 5 3 3" xfId="8132"/>
    <cellStyle name="Comma 3 5 3 3 2" xfId="8133"/>
    <cellStyle name="Comma 3 5 3 3 2 2" xfId="8134"/>
    <cellStyle name="Comma 3 5 3 3 2 2 2" xfId="8135"/>
    <cellStyle name="Comma 3 5 3 3 2 2 3" xfId="8136"/>
    <cellStyle name="Comma 3 5 3 3 2 3" xfId="8137"/>
    <cellStyle name="Comma 3 5 3 3 2 3 2" xfId="8138"/>
    <cellStyle name="Comma 3 5 3 3 2 4" xfId="8139"/>
    <cellStyle name="Comma 3 5 3 3 3" xfId="8140"/>
    <cellStyle name="Comma 3 5 3 3 3 2" xfId="8141"/>
    <cellStyle name="Comma 3 5 3 3 3 2 2" xfId="8142"/>
    <cellStyle name="Comma 3 5 3 3 3 3" xfId="8143"/>
    <cellStyle name="Comma 3 5 3 3 4" xfId="8144"/>
    <cellStyle name="Comma 3 5 3 3 4 2" xfId="8145"/>
    <cellStyle name="Comma 3 5 3 3 4 3" xfId="8146"/>
    <cellStyle name="Comma 3 5 3 3 5" xfId="8147"/>
    <cellStyle name="Comma 3 5 3 3 5 2" xfId="8148"/>
    <cellStyle name="Comma 3 5 3 3 6" xfId="8149"/>
    <cellStyle name="Comma 3 5 3 3 6 2" xfId="36197"/>
    <cellStyle name="Comma 3 5 3 3 7" xfId="8150"/>
    <cellStyle name="Comma 3 5 3 4" xfId="8151"/>
    <cellStyle name="Comma 3 5 3 4 2" xfId="8152"/>
    <cellStyle name="Comma 3 5 3 4 2 2" xfId="8153"/>
    <cellStyle name="Comma 3 5 3 4 2 2 2" xfId="8154"/>
    <cellStyle name="Comma 3 5 3 4 2 3" xfId="8155"/>
    <cellStyle name="Comma 3 5 3 4 3" xfId="8156"/>
    <cellStyle name="Comma 3 5 3 4 3 2" xfId="8157"/>
    <cellStyle name="Comma 3 5 3 4 4" xfId="8158"/>
    <cellStyle name="Comma 3 5 3 5" xfId="8159"/>
    <cellStyle name="Comma 3 5 3 5 2" xfId="8160"/>
    <cellStyle name="Comma 3 5 3 5 2 2" xfId="8161"/>
    <cellStyle name="Comma 3 5 3 5 3" xfId="8162"/>
    <cellStyle name="Comma 3 5 3 6" xfId="8163"/>
    <cellStyle name="Comma 3 5 3 6 2" xfId="8164"/>
    <cellStyle name="Comma 3 5 3 6 2 2" xfId="8165"/>
    <cellStyle name="Comma 3 5 3 6 3" xfId="8166"/>
    <cellStyle name="Comma 3 5 3 7" xfId="8167"/>
    <cellStyle name="Comma 3 5 3 7 2" xfId="8168"/>
    <cellStyle name="Comma 3 5 3 8" xfId="8169"/>
    <cellStyle name="Comma 3 5 3 8 2" xfId="36198"/>
    <cellStyle name="Comma 3 5 3 9" xfId="8170"/>
    <cellStyle name="Comma 3 5 4" xfId="8171"/>
    <cellStyle name="Comma 3 5 4 2" xfId="8172"/>
    <cellStyle name="Comma 3 5 4 2 2" xfId="8173"/>
    <cellStyle name="Comma 3 5 4 2 2 2" xfId="8174"/>
    <cellStyle name="Comma 3 5 4 2 2 2 2" xfId="8175"/>
    <cellStyle name="Comma 3 5 4 2 2 2 2 2" xfId="8176"/>
    <cellStyle name="Comma 3 5 4 2 2 2 2 3" xfId="8177"/>
    <cellStyle name="Comma 3 5 4 2 2 2 3" xfId="8178"/>
    <cellStyle name="Comma 3 5 4 2 2 2 3 2" xfId="8179"/>
    <cellStyle name="Comma 3 5 4 2 2 2 4" xfId="8180"/>
    <cellStyle name="Comma 3 5 4 2 2 3" xfId="8181"/>
    <cellStyle name="Comma 3 5 4 2 2 3 2" xfId="8182"/>
    <cellStyle name="Comma 3 5 4 2 2 3 2 2" xfId="8183"/>
    <cellStyle name="Comma 3 5 4 2 2 3 3" xfId="8184"/>
    <cellStyle name="Comma 3 5 4 2 2 4" xfId="8185"/>
    <cellStyle name="Comma 3 5 4 2 2 4 2" xfId="8186"/>
    <cellStyle name="Comma 3 5 4 2 2 4 3" xfId="8187"/>
    <cellStyle name="Comma 3 5 4 2 2 5" xfId="8188"/>
    <cellStyle name="Comma 3 5 4 2 2 5 2" xfId="8189"/>
    <cellStyle name="Comma 3 5 4 2 2 6" xfId="8190"/>
    <cellStyle name="Comma 3 5 4 2 2 6 2" xfId="36199"/>
    <cellStyle name="Comma 3 5 4 2 2 7" xfId="8191"/>
    <cellStyle name="Comma 3 5 4 2 3" xfId="8192"/>
    <cellStyle name="Comma 3 5 4 2 3 2" xfId="8193"/>
    <cellStyle name="Comma 3 5 4 2 3 2 2" xfId="8194"/>
    <cellStyle name="Comma 3 5 4 2 3 2 2 2" xfId="8195"/>
    <cellStyle name="Comma 3 5 4 2 3 2 3" xfId="8196"/>
    <cellStyle name="Comma 3 5 4 2 3 3" xfId="8197"/>
    <cellStyle name="Comma 3 5 4 2 3 3 2" xfId="8198"/>
    <cellStyle name="Comma 3 5 4 2 3 4" xfId="8199"/>
    <cellStyle name="Comma 3 5 4 2 4" xfId="8200"/>
    <cellStyle name="Comma 3 5 4 2 4 2" xfId="8201"/>
    <cellStyle name="Comma 3 5 4 2 4 2 2" xfId="8202"/>
    <cellStyle name="Comma 3 5 4 2 4 3" xfId="8203"/>
    <cellStyle name="Comma 3 5 4 2 5" xfId="8204"/>
    <cellStyle name="Comma 3 5 4 2 5 2" xfId="8205"/>
    <cellStyle name="Comma 3 5 4 2 5 2 2" xfId="8206"/>
    <cellStyle name="Comma 3 5 4 2 5 3" xfId="8207"/>
    <cellStyle name="Comma 3 5 4 2 6" xfId="8208"/>
    <cellStyle name="Comma 3 5 4 2 6 2" xfId="8209"/>
    <cellStyle name="Comma 3 5 4 2 7" xfId="8210"/>
    <cellStyle name="Comma 3 5 4 2 7 2" xfId="36200"/>
    <cellStyle name="Comma 3 5 4 2 8" xfId="8211"/>
    <cellStyle name="Comma 3 5 4 3" xfId="8212"/>
    <cellStyle name="Comma 3 5 4 3 2" xfId="8213"/>
    <cellStyle name="Comma 3 5 4 3 2 2" xfId="8214"/>
    <cellStyle name="Comma 3 5 4 3 2 2 2" xfId="8215"/>
    <cellStyle name="Comma 3 5 4 3 2 2 3" xfId="8216"/>
    <cellStyle name="Comma 3 5 4 3 2 3" xfId="8217"/>
    <cellStyle name="Comma 3 5 4 3 2 3 2" xfId="8218"/>
    <cellStyle name="Comma 3 5 4 3 2 4" xfId="8219"/>
    <cellStyle name="Comma 3 5 4 3 3" xfId="8220"/>
    <cellStyle name="Comma 3 5 4 3 3 2" xfId="8221"/>
    <cellStyle name="Comma 3 5 4 3 3 2 2" xfId="8222"/>
    <cellStyle name="Comma 3 5 4 3 3 3" xfId="8223"/>
    <cellStyle name="Comma 3 5 4 3 4" xfId="8224"/>
    <cellStyle name="Comma 3 5 4 3 4 2" xfId="8225"/>
    <cellStyle name="Comma 3 5 4 3 4 3" xfId="8226"/>
    <cellStyle name="Comma 3 5 4 3 5" xfId="8227"/>
    <cellStyle name="Comma 3 5 4 3 5 2" xfId="8228"/>
    <cellStyle name="Comma 3 5 4 3 6" xfId="8229"/>
    <cellStyle name="Comma 3 5 4 3 6 2" xfId="36201"/>
    <cellStyle name="Comma 3 5 4 3 7" xfId="8230"/>
    <cellStyle name="Comma 3 5 4 4" xfId="8231"/>
    <cellStyle name="Comma 3 5 4 4 2" xfId="8232"/>
    <cellStyle name="Comma 3 5 4 4 2 2" xfId="8233"/>
    <cellStyle name="Comma 3 5 4 4 2 2 2" xfId="8234"/>
    <cellStyle name="Comma 3 5 4 4 2 3" xfId="8235"/>
    <cellStyle name="Comma 3 5 4 4 3" xfId="8236"/>
    <cellStyle name="Comma 3 5 4 4 3 2" xfId="8237"/>
    <cellStyle name="Comma 3 5 4 4 4" xfId="8238"/>
    <cellStyle name="Comma 3 5 4 5" xfId="8239"/>
    <cellStyle name="Comma 3 5 4 5 2" xfId="8240"/>
    <cellStyle name="Comma 3 5 4 5 2 2" xfId="8241"/>
    <cellStyle name="Comma 3 5 4 5 3" xfId="8242"/>
    <cellStyle name="Comma 3 5 4 6" xfId="8243"/>
    <cellStyle name="Comma 3 5 4 6 2" xfId="8244"/>
    <cellStyle name="Comma 3 5 4 6 2 2" xfId="8245"/>
    <cellStyle name="Comma 3 5 4 6 3" xfId="8246"/>
    <cellStyle name="Comma 3 5 4 7" xfId="8247"/>
    <cellStyle name="Comma 3 5 4 7 2" xfId="8248"/>
    <cellStyle name="Comma 3 5 4 8" xfId="8249"/>
    <cellStyle name="Comma 3 5 4 8 2" xfId="36202"/>
    <cellStyle name="Comma 3 5 4 9" xfId="8250"/>
    <cellStyle name="Comma 3 5 5" xfId="8251"/>
    <cellStyle name="Comma 3 5 5 2" xfId="8252"/>
    <cellStyle name="Comma 3 5 5 2 2" xfId="8253"/>
    <cellStyle name="Comma 3 5 5 2 2 2" xfId="8254"/>
    <cellStyle name="Comma 3 5 5 2 2 2 2" xfId="8255"/>
    <cellStyle name="Comma 3 5 5 2 2 2 3" xfId="8256"/>
    <cellStyle name="Comma 3 5 5 2 2 3" xfId="8257"/>
    <cellStyle name="Comma 3 5 5 2 2 3 2" xfId="8258"/>
    <cellStyle name="Comma 3 5 5 2 2 4" xfId="8259"/>
    <cellStyle name="Comma 3 5 5 2 3" xfId="8260"/>
    <cellStyle name="Comma 3 5 5 2 3 2" xfId="8261"/>
    <cellStyle name="Comma 3 5 5 2 3 2 2" xfId="8262"/>
    <cellStyle name="Comma 3 5 5 2 3 3" xfId="8263"/>
    <cellStyle name="Comma 3 5 5 2 4" xfId="8264"/>
    <cellStyle name="Comma 3 5 5 2 4 2" xfId="8265"/>
    <cellStyle name="Comma 3 5 5 2 4 3" xfId="8266"/>
    <cellStyle name="Comma 3 5 5 2 5" xfId="8267"/>
    <cellStyle name="Comma 3 5 5 2 5 2" xfId="8268"/>
    <cellStyle name="Comma 3 5 5 2 6" xfId="8269"/>
    <cellStyle name="Comma 3 5 5 2 6 2" xfId="36203"/>
    <cellStyle name="Comma 3 5 5 2 7" xfId="8270"/>
    <cellStyle name="Comma 3 5 5 3" xfId="8271"/>
    <cellStyle name="Comma 3 5 5 3 2" xfId="8272"/>
    <cellStyle name="Comma 3 5 5 3 2 2" xfId="8273"/>
    <cellStyle name="Comma 3 5 5 3 2 2 2" xfId="8274"/>
    <cellStyle name="Comma 3 5 5 3 2 3" xfId="8275"/>
    <cellStyle name="Comma 3 5 5 3 3" xfId="8276"/>
    <cellStyle name="Comma 3 5 5 3 3 2" xfId="8277"/>
    <cellStyle name="Comma 3 5 5 3 4" xfId="8278"/>
    <cellStyle name="Comma 3 5 5 4" xfId="8279"/>
    <cellStyle name="Comma 3 5 5 4 2" xfId="8280"/>
    <cellStyle name="Comma 3 5 5 4 2 2" xfId="8281"/>
    <cellStyle name="Comma 3 5 5 4 3" xfId="8282"/>
    <cellStyle name="Comma 3 5 5 5" xfId="8283"/>
    <cellStyle name="Comma 3 5 5 5 2" xfId="8284"/>
    <cellStyle name="Comma 3 5 5 5 2 2" xfId="8285"/>
    <cellStyle name="Comma 3 5 5 5 3" xfId="8286"/>
    <cellStyle name="Comma 3 5 5 6" xfId="8287"/>
    <cellStyle name="Comma 3 5 5 6 2" xfId="8288"/>
    <cellStyle name="Comma 3 5 5 7" xfId="8289"/>
    <cellStyle name="Comma 3 5 5 7 2" xfId="36204"/>
    <cellStyle name="Comma 3 5 5 8" xfId="8290"/>
    <cellStyle name="Comma 3 5 6" xfId="8291"/>
    <cellStyle name="Comma 3 5 6 2" xfId="8292"/>
    <cellStyle name="Comma 3 5 6 2 2" xfId="8293"/>
    <cellStyle name="Comma 3 5 6 2 2 2" xfId="8294"/>
    <cellStyle name="Comma 3 5 6 2 2 2 2" xfId="8295"/>
    <cellStyle name="Comma 3 5 6 2 2 2 3" xfId="8296"/>
    <cellStyle name="Comma 3 5 6 2 2 3" xfId="8297"/>
    <cellStyle name="Comma 3 5 6 2 2 3 2" xfId="8298"/>
    <cellStyle name="Comma 3 5 6 2 2 4" xfId="8299"/>
    <cellStyle name="Comma 3 5 6 2 3" xfId="8300"/>
    <cellStyle name="Comma 3 5 6 2 3 2" xfId="8301"/>
    <cellStyle name="Comma 3 5 6 2 3 2 2" xfId="8302"/>
    <cellStyle name="Comma 3 5 6 2 3 3" xfId="8303"/>
    <cellStyle name="Comma 3 5 6 2 4" xfId="8304"/>
    <cellStyle name="Comma 3 5 6 2 4 2" xfId="8305"/>
    <cellStyle name="Comma 3 5 6 2 4 3" xfId="8306"/>
    <cellStyle name="Comma 3 5 6 2 5" xfId="8307"/>
    <cellStyle name="Comma 3 5 6 2 5 2" xfId="8308"/>
    <cellStyle name="Comma 3 5 6 2 6" xfId="8309"/>
    <cellStyle name="Comma 3 5 6 2 6 2" xfId="36205"/>
    <cellStyle name="Comma 3 5 6 2 7" xfId="8310"/>
    <cellStyle name="Comma 3 5 6 3" xfId="8311"/>
    <cellStyle name="Comma 3 5 6 3 2" xfId="8312"/>
    <cellStyle name="Comma 3 5 6 3 2 2" xfId="8313"/>
    <cellStyle name="Comma 3 5 6 3 2 2 2" xfId="8314"/>
    <cellStyle name="Comma 3 5 6 3 2 3" xfId="8315"/>
    <cellStyle name="Comma 3 5 6 3 3" xfId="8316"/>
    <cellStyle name="Comma 3 5 6 3 3 2" xfId="8317"/>
    <cellStyle name="Comma 3 5 6 3 4" xfId="8318"/>
    <cellStyle name="Comma 3 5 6 4" xfId="8319"/>
    <cellStyle name="Comma 3 5 6 4 2" xfId="8320"/>
    <cellStyle name="Comma 3 5 6 4 2 2" xfId="8321"/>
    <cellStyle name="Comma 3 5 6 4 3" xfId="8322"/>
    <cellStyle name="Comma 3 5 6 5" xfId="8323"/>
    <cellStyle name="Comma 3 5 6 5 2" xfId="8324"/>
    <cellStyle name="Comma 3 5 6 5 2 2" xfId="8325"/>
    <cellStyle name="Comma 3 5 6 5 3" xfId="8326"/>
    <cellStyle name="Comma 3 5 6 6" xfId="8327"/>
    <cellStyle name="Comma 3 5 6 6 2" xfId="8328"/>
    <cellStyle name="Comma 3 5 6 7" xfId="8329"/>
    <cellStyle name="Comma 3 5 6 7 2" xfId="36206"/>
    <cellStyle name="Comma 3 5 6 8" xfId="8330"/>
    <cellStyle name="Comma 3 5 7" xfId="8331"/>
    <cellStyle name="Comma 3 5 7 2" xfId="8332"/>
    <cellStyle name="Comma 3 5 7 2 2" xfId="8333"/>
    <cellStyle name="Comma 3 5 7 2 2 2" xfId="8334"/>
    <cellStyle name="Comma 3 5 7 2 2 2 2" xfId="8335"/>
    <cellStyle name="Comma 3 5 7 2 2 2 3" xfId="8336"/>
    <cellStyle name="Comma 3 5 7 2 2 3" xfId="8337"/>
    <cellStyle name="Comma 3 5 7 2 2 3 2" xfId="8338"/>
    <cellStyle name="Comma 3 5 7 2 2 4" xfId="8339"/>
    <cellStyle name="Comma 3 5 7 2 3" xfId="8340"/>
    <cellStyle name="Comma 3 5 7 2 3 2" xfId="8341"/>
    <cellStyle name="Comma 3 5 7 2 3 2 2" xfId="8342"/>
    <cellStyle name="Comma 3 5 7 2 3 3" xfId="8343"/>
    <cellStyle name="Comma 3 5 7 2 4" xfId="8344"/>
    <cellStyle name="Comma 3 5 7 2 4 2" xfId="8345"/>
    <cellStyle name="Comma 3 5 7 2 4 3" xfId="8346"/>
    <cellStyle name="Comma 3 5 7 2 5" xfId="8347"/>
    <cellStyle name="Comma 3 5 7 2 5 2" xfId="8348"/>
    <cellStyle name="Comma 3 5 7 2 6" xfId="8349"/>
    <cellStyle name="Comma 3 5 7 2 6 2" xfId="36207"/>
    <cellStyle name="Comma 3 5 7 2 7" xfId="8350"/>
    <cellStyle name="Comma 3 5 7 3" xfId="8351"/>
    <cellStyle name="Comma 3 5 7 3 2" xfId="8352"/>
    <cellStyle name="Comma 3 5 7 3 2 2" xfId="8353"/>
    <cellStyle name="Comma 3 5 7 3 2 2 2" xfId="8354"/>
    <cellStyle name="Comma 3 5 7 3 2 3" xfId="8355"/>
    <cellStyle name="Comma 3 5 7 3 3" xfId="8356"/>
    <cellStyle name="Comma 3 5 7 3 3 2" xfId="8357"/>
    <cellStyle name="Comma 3 5 7 3 4" xfId="8358"/>
    <cellStyle name="Comma 3 5 7 4" xfId="8359"/>
    <cellStyle name="Comma 3 5 7 4 2" xfId="8360"/>
    <cellStyle name="Comma 3 5 7 4 2 2" xfId="8361"/>
    <cellStyle name="Comma 3 5 7 4 3" xfId="8362"/>
    <cellStyle name="Comma 3 5 7 5" xfId="8363"/>
    <cellStyle name="Comma 3 5 7 5 2" xfId="8364"/>
    <cellStyle name="Comma 3 5 7 5 2 2" xfId="8365"/>
    <cellStyle name="Comma 3 5 7 5 3" xfId="8366"/>
    <cellStyle name="Comma 3 5 7 6" xfId="8367"/>
    <cellStyle name="Comma 3 5 7 6 2" xfId="8368"/>
    <cellStyle name="Comma 3 5 7 7" xfId="8369"/>
    <cellStyle name="Comma 3 5 7 7 2" xfId="36208"/>
    <cellStyle name="Comma 3 5 7 8" xfId="8370"/>
    <cellStyle name="Comma 3 5 8" xfId="8371"/>
    <cellStyle name="Comma 3 5 8 2" xfId="8372"/>
    <cellStyle name="Comma 3 5 8 2 2" xfId="8373"/>
    <cellStyle name="Comma 3 5 8 2 2 2" xfId="8374"/>
    <cellStyle name="Comma 3 5 8 2 2 3" xfId="8375"/>
    <cellStyle name="Comma 3 5 8 2 3" xfId="8376"/>
    <cellStyle name="Comma 3 5 8 2 3 2" xfId="8377"/>
    <cellStyle name="Comma 3 5 8 2 4" xfId="8378"/>
    <cellStyle name="Comma 3 5 8 3" xfId="8379"/>
    <cellStyle name="Comma 3 5 8 3 2" xfId="8380"/>
    <cellStyle name="Comma 3 5 8 3 2 2" xfId="8381"/>
    <cellStyle name="Comma 3 5 8 3 3" xfId="8382"/>
    <cellStyle name="Comma 3 5 8 4" xfId="8383"/>
    <cellStyle name="Comma 3 5 8 4 2" xfId="8384"/>
    <cellStyle name="Comma 3 5 8 4 3" xfId="8385"/>
    <cellStyle name="Comma 3 5 8 5" xfId="8386"/>
    <cellStyle name="Comma 3 5 8 5 2" xfId="8387"/>
    <cellStyle name="Comma 3 5 8 6" xfId="8388"/>
    <cellStyle name="Comma 3 5 8 6 2" xfId="36209"/>
    <cellStyle name="Comma 3 5 8 7" xfId="8389"/>
    <cellStyle name="Comma 3 5 9" xfId="8390"/>
    <cellStyle name="Comma 3 5 9 2" xfId="8391"/>
    <cellStyle name="Comma 3 5 9 2 2" xfId="8392"/>
    <cellStyle name="Comma 3 5 9 2 2 2" xfId="8393"/>
    <cellStyle name="Comma 3 5 9 2 3" xfId="8394"/>
    <cellStyle name="Comma 3 5 9 3" xfId="8395"/>
    <cellStyle name="Comma 3 5 9 3 2" xfId="8396"/>
    <cellStyle name="Comma 3 5 9 4" xfId="8397"/>
    <cellStyle name="Comma 3 6" xfId="8398"/>
    <cellStyle name="Comma 3 6 10" xfId="8399"/>
    <cellStyle name="Comma 3 6 10 2" xfId="8400"/>
    <cellStyle name="Comma 3 6 10 2 2" xfId="8401"/>
    <cellStyle name="Comma 3 6 10 3" xfId="8402"/>
    <cellStyle name="Comma 3 6 11" xfId="8403"/>
    <cellStyle name="Comma 3 6 11 2" xfId="8404"/>
    <cellStyle name="Comma 3 6 12" xfId="8405"/>
    <cellStyle name="Comma 3 6 12 2" xfId="36210"/>
    <cellStyle name="Comma 3 6 13" xfId="8406"/>
    <cellStyle name="Comma 3 6 2" xfId="8407"/>
    <cellStyle name="Comma 3 6 2 10" xfId="8408"/>
    <cellStyle name="Comma 3 6 2 2" xfId="8409"/>
    <cellStyle name="Comma 3 6 2 2 2" xfId="8410"/>
    <cellStyle name="Comma 3 6 2 2 2 2" xfId="8411"/>
    <cellStyle name="Comma 3 6 2 2 2 2 2" xfId="8412"/>
    <cellStyle name="Comma 3 6 2 2 2 2 2 2" xfId="8413"/>
    <cellStyle name="Comma 3 6 2 2 2 2 2 2 2" xfId="8414"/>
    <cellStyle name="Comma 3 6 2 2 2 2 2 2 3" xfId="8415"/>
    <cellStyle name="Comma 3 6 2 2 2 2 2 3" xfId="8416"/>
    <cellStyle name="Comma 3 6 2 2 2 2 2 3 2" xfId="8417"/>
    <cellStyle name="Comma 3 6 2 2 2 2 2 4" xfId="8418"/>
    <cellStyle name="Comma 3 6 2 2 2 2 3" xfId="8419"/>
    <cellStyle name="Comma 3 6 2 2 2 2 3 2" xfId="8420"/>
    <cellStyle name="Comma 3 6 2 2 2 2 3 2 2" xfId="8421"/>
    <cellStyle name="Comma 3 6 2 2 2 2 3 3" xfId="8422"/>
    <cellStyle name="Comma 3 6 2 2 2 2 4" xfId="8423"/>
    <cellStyle name="Comma 3 6 2 2 2 2 4 2" xfId="8424"/>
    <cellStyle name="Comma 3 6 2 2 2 2 4 3" xfId="8425"/>
    <cellStyle name="Comma 3 6 2 2 2 2 5" xfId="8426"/>
    <cellStyle name="Comma 3 6 2 2 2 2 5 2" xfId="8427"/>
    <cellStyle name="Comma 3 6 2 2 2 2 6" xfId="8428"/>
    <cellStyle name="Comma 3 6 2 2 2 2 6 2" xfId="36211"/>
    <cellStyle name="Comma 3 6 2 2 2 2 7" xfId="8429"/>
    <cellStyle name="Comma 3 6 2 2 2 3" xfId="8430"/>
    <cellStyle name="Comma 3 6 2 2 2 3 2" xfId="8431"/>
    <cellStyle name="Comma 3 6 2 2 2 3 2 2" xfId="8432"/>
    <cellStyle name="Comma 3 6 2 2 2 3 2 2 2" xfId="8433"/>
    <cellStyle name="Comma 3 6 2 2 2 3 2 3" xfId="8434"/>
    <cellStyle name="Comma 3 6 2 2 2 3 3" xfId="8435"/>
    <cellStyle name="Comma 3 6 2 2 2 3 3 2" xfId="8436"/>
    <cellStyle name="Comma 3 6 2 2 2 3 4" xfId="8437"/>
    <cellStyle name="Comma 3 6 2 2 2 4" xfId="8438"/>
    <cellStyle name="Comma 3 6 2 2 2 4 2" xfId="8439"/>
    <cellStyle name="Comma 3 6 2 2 2 4 2 2" xfId="8440"/>
    <cellStyle name="Comma 3 6 2 2 2 4 3" xfId="8441"/>
    <cellStyle name="Comma 3 6 2 2 2 5" xfId="8442"/>
    <cellStyle name="Comma 3 6 2 2 2 5 2" xfId="8443"/>
    <cellStyle name="Comma 3 6 2 2 2 5 2 2" xfId="8444"/>
    <cellStyle name="Comma 3 6 2 2 2 5 3" xfId="8445"/>
    <cellStyle name="Comma 3 6 2 2 2 6" xfId="8446"/>
    <cellStyle name="Comma 3 6 2 2 2 6 2" xfId="8447"/>
    <cellStyle name="Comma 3 6 2 2 2 7" xfId="8448"/>
    <cellStyle name="Comma 3 6 2 2 2 7 2" xfId="36212"/>
    <cellStyle name="Comma 3 6 2 2 2 8" xfId="8449"/>
    <cellStyle name="Comma 3 6 2 2 3" xfId="8450"/>
    <cellStyle name="Comma 3 6 2 2 3 2" xfId="8451"/>
    <cellStyle name="Comma 3 6 2 2 3 2 2" xfId="8452"/>
    <cellStyle name="Comma 3 6 2 2 3 2 2 2" xfId="8453"/>
    <cellStyle name="Comma 3 6 2 2 3 2 2 3" xfId="8454"/>
    <cellStyle name="Comma 3 6 2 2 3 2 3" xfId="8455"/>
    <cellStyle name="Comma 3 6 2 2 3 2 3 2" xfId="8456"/>
    <cellStyle name="Comma 3 6 2 2 3 2 4" xfId="8457"/>
    <cellStyle name="Comma 3 6 2 2 3 3" xfId="8458"/>
    <cellStyle name="Comma 3 6 2 2 3 3 2" xfId="8459"/>
    <cellStyle name="Comma 3 6 2 2 3 3 2 2" xfId="8460"/>
    <cellStyle name="Comma 3 6 2 2 3 3 3" xfId="8461"/>
    <cellStyle name="Comma 3 6 2 2 3 4" xfId="8462"/>
    <cellStyle name="Comma 3 6 2 2 3 4 2" xfId="8463"/>
    <cellStyle name="Comma 3 6 2 2 3 4 3" xfId="8464"/>
    <cellStyle name="Comma 3 6 2 2 3 5" xfId="8465"/>
    <cellStyle name="Comma 3 6 2 2 3 5 2" xfId="8466"/>
    <cellStyle name="Comma 3 6 2 2 3 6" xfId="8467"/>
    <cellStyle name="Comma 3 6 2 2 3 6 2" xfId="36213"/>
    <cellStyle name="Comma 3 6 2 2 3 7" xfId="8468"/>
    <cellStyle name="Comma 3 6 2 2 4" xfId="8469"/>
    <cellStyle name="Comma 3 6 2 2 4 2" xfId="8470"/>
    <cellStyle name="Comma 3 6 2 2 4 2 2" xfId="8471"/>
    <cellStyle name="Comma 3 6 2 2 4 2 2 2" xfId="8472"/>
    <cellStyle name="Comma 3 6 2 2 4 2 3" xfId="8473"/>
    <cellStyle name="Comma 3 6 2 2 4 3" xfId="8474"/>
    <cellStyle name="Comma 3 6 2 2 4 3 2" xfId="8475"/>
    <cellStyle name="Comma 3 6 2 2 4 4" xfId="8476"/>
    <cellStyle name="Comma 3 6 2 2 5" xfId="8477"/>
    <cellStyle name="Comma 3 6 2 2 5 2" xfId="8478"/>
    <cellStyle name="Comma 3 6 2 2 5 2 2" xfId="8479"/>
    <cellStyle name="Comma 3 6 2 2 5 3" xfId="8480"/>
    <cellStyle name="Comma 3 6 2 2 6" xfId="8481"/>
    <cellStyle name="Comma 3 6 2 2 6 2" xfId="8482"/>
    <cellStyle name="Comma 3 6 2 2 6 2 2" xfId="8483"/>
    <cellStyle name="Comma 3 6 2 2 6 3" xfId="8484"/>
    <cellStyle name="Comma 3 6 2 2 7" xfId="8485"/>
    <cellStyle name="Comma 3 6 2 2 7 2" xfId="8486"/>
    <cellStyle name="Comma 3 6 2 2 8" xfId="8487"/>
    <cellStyle name="Comma 3 6 2 2 8 2" xfId="36214"/>
    <cellStyle name="Comma 3 6 2 2 9" xfId="8488"/>
    <cellStyle name="Comma 3 6 2 3" xfId="8489"/>
    <cellStyle name="Comma 3 6 2 3 2" xfId="8490"/>
    <cellStyle name="Comma 3 6 2 3 2 2" xfId="8491"/>
    <cellStyle name="Comma 3 6 2 3 2 2 2" xfId="8492"/>
    <cellStyle name="Comma 3 6 2 3 2 2 2 2" xfId="8493"/>
    <cellStyle name="Comma 3 6 2 3 2 2 2 3" xfId="8494"/>
    <cellStyle name="Comma 3 6 2 3 2 2 3" xfId="8495"/>
    <cellStyle name="Comma 3 6 2 3 2 2 3 2" xfId="8496"/>
    <cellStyle name="Comma 3 6 2 3 2 2 4" xfId="8497"/>
    <cellStyle name="Comma 3 6 2 3 2 3" xfId="8498"/>
    <cellStyle name="Comma 3 6 2 3 2 3 2" xfId="8499"/>
    <cellStyle name="Comma 3 6 2 3 2 3 2 2" xfId="8500"/>
    <cellStyle name="Comma 3 6 2 3 2 3 3" xfId="8501"/>
    <cellStyle name="Comma 3 6 2 3 2 4" xfId="8502"/>
    <cellStyle name="Comma 3 6 2 3 2 4 2" xfId="8503"/>
    <cellStyle name="Comma 3 6 2 3 2 4 3" xfId="8504"/>
    <cellStyle name="Comma 3 6 2 3 2 5" xfId="8505"/>
    <cellStyle name="Comma 3 6 2 3 2 5 2" xfId="8506"/>
    <cellStyle name="Comma 3 6 2 3 2 6" xfId="8507"/>
    <cellStyle name="Comma 3 6 2 3 2 6 2" xfId="36215"/>
    <cellStyle name="Comma 3 6 2 3 2 7" xfId="8508"/>
    <cellStyle name="Comma 3 6 2 3 3" xfId="8509"/>
    <cellStyle name="Comma 3 6 2 3 3 2" xfId="8510"/>
    <cellStyle name="Comma 3 6 2 3 3 2 2" xfId="8511"/>
    <cellStyle name="Comma 3 6 2 3 3 2 2 2" xfId="8512"/>
    <cellStyle name="Comma 3 6 2 3 3 2 3" xfId="8513"/>
    <cellStyle name="Comma 3 6 2 3 3 3" xfId="8514"/>
    <cellStyle name="Comma 3 6 2 3 3 3 2" xfId="8515"/>
    <cellStyle name="Comma 3 6 2 3 3 4" xfId="8516"/>
    <cellStyle name="Comma 3 6 2 3 4" xfId="8517"/>
    <cellStyle name="Comma 3 6 2 3 4 2" xfId="8518"/>
    <cellStyle name="Comma 3 6 2 3 4 2 2" xfId="8519"/>
    <cellStyle name="Comma 3 6 2 3 4 3" xfId="8520"/>
    <cellStyle name="Comma 3 6 2 3 5" xfId="8521"/>
    <cellStyle name="Comma 3 6 2 3 5 2" xfId="8522"/>
    <cellStyle name="Comma 3 6 2 3 5 2 2" xfId="8523"/>
    <cellStyle name="Comma 3 6 2 3 5 3" xfId="8524"/>
    <cellStyle name="Comma 3 6 2 3 6" xfId="8525"/>
    <cellStyle name="Comma 3 6 2 3 6 2" xfId="8526"/>
    <cellStyle name="Comma 3 6 2 3 7" xfId="8527"/>
    <cellStyle name="Comma 3 6 2 3 7 2" xfId="36216"/>
    <cellStyle name="Comma 3 6 2 3 8" xfId="8528"/>
    <cellStyle name="Comma 3 6 2 4" xfId="8529"/>
    <cellStyle name="Comma 3 6 2 4 2" xfId="8530"/>
    <cellStyle name="Comma 3 6 2 4 2 2" xfId="8531"/>
    <cellStyle name="Comma 3 6 2 4 2 2 2" xfId="8532"/>
    <cellStyle name="Comma 3 6 2 4 2 2 3" xfId="8533"/>
    <cellStyle name="Comma 3 6 2 4 2 3" xfId="8534"/>
    <cellStyle name="Comma 3 6 2 4 2 3 2" xfId="8535"/>
    <cellStyle name="Comma 3 6 2 4 2 4" xfId="8536"/>
    <cellStyle name="Comma 3 6 2 4 3" xfId="8537"/>
    <cellStyle name="Comma 3 6 2 4 3 2" xfId="8538"/>
    <cellStyle name="Comma 3 6 2 4 3 2 2" xfId="8539"/>
    <cellStyle name="Comma 3 6 2 4 3 3" xfId="8540"/>
    <cellStyle name="Comma 3 6 2 4 4" xfId="8541"/>
    <cellStyle name="Comma 3 6 2 4 4 2" xfId="8542"/>
    <cellStyle name="Comma 3 6 2 4 4 3" xfId="8543"/>
    <cellStyle name="Comma 3 6 2 4 5" xfId="8544"/>
    <cellStyle name="Comma 3 6 2 4 5 2" xfId="8545"/>
    <cellStyle name="Comma 3 6 2 4 6" xfId="8546"/>
    <cellStyle name="Comma 3 6 2 4 6 2" xfId="36217"/>
    <cellStyle name="Comma 3 6 2 4 7" xfId="8547"/>
    <cellStyle name="Comma 3 6 2 5" xfId="8548"/>
    <cellStyle name="Comma 3 6 2 5 2" xfId="8549"/>
    <cellStyle name="Comma 3 6 2 5 2 2" xfId="8550"/>
    <cellStyle name="Comma 3 6 2 5 2 2 2" xfId="8551"/>
    <cellStyle name="Comma 3 6 2 5 2 3" xfId="8552"/>
    <cellStyle name="Comma 3 6 2 5 3" xfId="8553"/>
    <cellStyle name="Comma 3 6 2 5 3 2" xfId="8554"/>
    <cellStyle name="Comma 3 6 2 5 4" xfId="8555"/>
    <cellStyle name="Comma 3 6 2 6" xfId="8556"/>
    <cellStyle name="Comma 3 6 2 6 2" xfId="8557"/>
    <cellStyle name="Comma 3 6 2 6 2 2" xfId="8558"/>
    <cellStyle name="Comma 3 6 2 6 3" xfId="8559"/>
    <cellStyle name="Comma 3 6 2 7" xfId="8560"/>
    <cellStyle name="Comma 3 6 2 7 2" xfId="8561"/>
    <cellStyle name="Comma 3 6 2 7 2 2" xfId="8562"/>
    <cellStyle name="Comma 3 6 2 7 3" xfId="8563"/>
    <cellStyle name="Comma 3 6 2 8" xfId="8564"/>
    <cellStyle name="Comma 3 6 2 8 2" xfId="8565"/>
    <cellStyle name="Comma 3 6 2 9" xfId="8566"/>
    <cellStyle name="Comma 3 6 2 9 2" xfId="36218"/>
    <cellStyle name="Comma 3 6 3" xfId="8567"/>
    <cellStyle name="Comma 3 6 3 2" xfId="8568"/>
    <cellStyle name="Comma 3 6 3 2 2" xfId="8569"/>
    <cellStyle name="Comma 3 6 3 2 2 2" xfId="8570"/>
    <cellStyle name="Comma 3 6 3 2 2 2 2" xfId="8571"/>
    <cellStyle name="Comma 3 6 3 2 2 2 2 2" xfId="8572"/>
    <cellStyle name="Comma 3 6 3 2 2 2 2 3" xfId="8573"/>
    <cellStyle name="Comma 3 6 3 2 2 2 3" xfId="8574"/>
    <cellStyle name="Comma 3 6 3 2 2 2 3 2" xfId="8575"/>
    <cellStyle name="Comma 3 6 3 2 2 2 4" xfId="8576"/>
    <cellStyle name="Comma 3 6 3 2 2 3" xfId="8577"/>
    <cellStyle name="Comma 3 6 3 2 2 3 2" xfId="8578"/>
    <cellStyle name="Comma 3 6 3 2 2 3 2 2" xfId="8579"/>
    <cellStyle name="Comma 3 6 3 2 2 3 3" xfId="8580"/>
    <cellStyle name="Comma 3 6 3 2 2 4" xfId="8581"/>
    <cellStyle name="Comma 3 6 3 2 2 4 2" xfId="8582"/>
    <cellStyle name="Comma 3 6 3 2 2 4 3" xfId="8583"/>
    <cellStyle name="Comma 3 6 3 2 2 5" xfId="8584"/>
    <cellStyle name="Comma 3 6 3 2 2 5 2" xfId="8585"/>
    <cellStyle name="Comma 3 6 3 2 2 6" xfId="8586"/>
    <cellStyle name="Comma 3 6 3 2 2 6 2" xfId="36219"/>
    <cellStyle name="Comma 3 6 3 2 2 7" xfId="8587"/>
    <cellStyle name="Comma 3 6 3 2 3" xfId="8588"/>
    <cellStyle name="Comma 3 6 3 2 3 2" xfId="8589"/>
    <cellStyle name="Comma 3 6 3 2 3 2 2" xfId="8590"/>
    <cellStyle name="Comma 3 6 3 2 3 2 2 2" xfId="8591"/>
    <cellStyle name="Comma 3 6 3 2 3 2 3" xfId="8592"/>
    <cellStyle name="Comma 3 6 3 2 3 3" xfId="8593"/>
    <cellStyle name="Comma 3 6 3 2 3 3 2" xfId="8594"/>
    <cellStyle name="Comma 3 6 3 2 3 4" xfId="8595"/>
    <cellStyle name="Comma 3 6 3 2 4" xfId="8596"/>
    <cellStyle name="Comma 3 6 3 2 4 2" xfId="8597"/>
    <cellStyle name="Comma 3 6 3 2 4 2 2" xfId="8598"/>
    <cellStyle name="Comma 3 6 3 2 4 3" xfId="8599"/>
    <cellStyle name="Comma 3 6 3 2 5" xfId="8600"/>
    <cellStyle name="Comma 3 6 3 2 5 2" xfId="8601"/>
    <cellStyle name="Comma 3 6 3 2 5 2 2" xfId="8602"/>
    <cellStyle name="Comma 3 6 3 2 5 3" xfId="8603"/>
    <cellStyle name="Comma 3 6 3 2 6" xfId="8604"/>
    <cellStyle name="Comma 3 6 3 2 6 2" xfId="8605"/>
    <cellStyle name="Comma 3 6 3 2 7" xfId="8606"/>
    <cellStyle name="Comma 3 6 3 2 7 2" xfId="36220"/>
    <cellStyle name="Comma 3 6 3 2 8" xfId="8607"/>
    <cellStyle name="Comma 3 6 3 3" xfId="8608"/>
    <cellStyle name="Comma 3 6 3 3 2" xfId="8609"/>
    <cellStyle name="Comma 3 6 3 3 2 2" xfId="8610"/>
    <cellStyle name="Comma 3 6 3 3 2 2 2" xfId="8611"/>
    <cellStyle name="Comma 3 6 3 3 2 2 3" xfId="8612"/>
    <cellStyle name="Comma 3 6 3 3 2 3" xfId="8613"/>
    <cellStyle name="Comma 3 6 3 3 2 3 2" xfId="8614"/>
    <cellStyle name="Comma 3 6 3 3 2 4" xfId="8615"/>
    <cellStyle name="Comma 3 6 3 3 3" xfId="8616"/>
    <cellStyle name="Comma 3 6 3 3 3 2" xfId="8617"/>
    <cellStyle name="Comma 3 6 3 3 3 2 2" xfId="8618"/>
    <cellStyle name="Comma 3 6 3 3 3 3" xfId="8619"/>
    <cellStyle name="Comma 3 6 3 3 4" xfId="8620"/>
    <cellStyle name="Comma 3 6 3 3 4 2" xfId="8621"/>
    <cellStyle name="Comma 3 6 3 3 4 3" xfId="8622"/>
    <cellStyle name="Comma 3 6 3 3 5" xfId="8623"/>
    <cellStyle name="Comma 3 6 3 3 5 2" xfId="8624"/>
    <cellStyle name="Comma 3 6 3 3 6" xfId="8625"/>
    <cellStyle name="Comma 3 6 3 3 6 2" xfId="36221"/>
    <cellStyle name="Comma 3 6 3 3 7" xfId="8626"/>
    <cellStyle name="Comma 3 6 3 4" xfId="8627"/>
    <cellStyle name="Comma 3 6 3 4 2" xfId="8628"/>
    <cellStyle name="Comma 3 6 3 4 2 2" xfId="8629"/>
    <cellStyle name="Comma 3 6 3 4 2 2 2" xfId="8630"/>
    <cellStyle name="Comma 3 6 3 4 2 3" xfId="8631"/>
    <cellStyle name="Comma 3 6 3 4 3" xfId="8632"/>
    <cellStyle name="Comma 3 6 3 4 3 2" xfId="8633"/>
    <cellStyle name="Comma 3 6 3 4 4" xfId="8634"/>
    <cellStyle name="Comma 3 6 3 5" xfId="8635"/>
    <cellStyle name="Comma 3 6 3 5 2" xfId="8636"/>
    <cellStyle name="Comma 3 6 3 5 2 2" xfId="8637"/>
    <cellStyle name="Comma 3 6 3 5 3" xfId="8638"/>
    <cellStyle name="Comma 3 6 3 6" xfId="8639"/>
    <cellStyle name="Comma 3 6 3 6 2" xfId="8640"/>
    <cellStyle name="Comma 3 6 3 6 2 2" xfId="8641"/>
    <cellStyle name="Comma 3 6 3 6 3" xfId="8642"/>
    <cellStyle name="Comma 3 6 3 7" xfId="8643"/>
    <cellStyle name="Comma 3 6 3 7 2" xfId="8644"/>
    <cellStyle name="Comma 3 6 3 8" xfId="8645"/>
    <cellStyle name="Comma 3 6 3 8 2" xfId="36222"/>
    <cellStyle name="Comma 3 6 3 9" xfId="8646"/>
    <cellStyle name="Comma 3 6 4" xfId="8647"/>
    <cellStyle name="Comma 3 6 4 2" xfId="8648"/>
    <cellStyle name="Comma 3 6 4 2 2" xfId="8649"/>
    <cellStyle name="Comma 3 6 4 2 2 2" xfId="8650"/>
    <cellStyle name="Comma 3 6 4 2 2 2 2" xfId="8651"/>
    <cellStyle name="Comma 3 6 4 2 2 2 3" xfId="8652"/>
    <cellStyle name="Comma 3 6 4 2 2 3" xfId="8653"/>
    <cellStyle name="Comma 3 6 4 2 2 3 2" xfId="8654"/>
    <cellStyle name="Comma 3 6 4 2 2 4" xfId="8655"/>
    <cellStyle name="Comma 3 6 4 2 3" xfId="8656"/>
    <cellStyle name="Comma 3 6 4 2 3 2" xfId="8657"/>
    <cellStyle name="Comma 3 6 4 2 3 2 2" xfId="8658"/>
    <cellStyle name="Comma 3 6 4 2 3 3" xfId="8659"/>
    <cellStyle name="Comma 3 6 4 2 4" xfId="8660"/>
    <cellStyle name="Comma 3 6 4 2 4 2" xfId="8661"/>
    <cellStyle name="Comma 3 6 4 2 4 3" xfId="8662"/>
    <cellStyle name="Comma 3 6 4 2 5" xfId="8663"/>
    <cellStyle name="Comma 3 6 4 2 5 2" xfId="8664"/>
    <cellStyle name="Comma 3 6 4 2 6" xfId="8665"/>
    <cellStyle name="Comma 3 6 4 2 6 2" xfId="36223"/>
    <cellStyle name="Comma 3 6 4 2 7" xfId="8666"/>
    <cellStyle name="Comma 3 6 4 3" xfId="8667"/>
    <cellStyle name="Comma 3 6 4 3 2" xfId="8668"/>
    <cellStyle name="Comma 3 6 4 3 2 2" xfId="8669"/>
    <cellStyle name="Comma 3 6 4 3 2 2 2" xfId="8670"/>
    <cellStyle name="Comma 3 6 4 3 2 3" xfId="8671"/>
    <cellStyle name="Comma 3 6 4 3 3" xfId="8672"/>
    <cellStyle name="Comma 3 6 4 3 3 2" xfId="8673"/>
    <cellStyle name="Comma 3 6 4 3 4" xfId="8674"/>
    <cellStyle name="Comma 3 6 4 4" xfId="8675"/>
    <cellStyle name="Comma 3 6 4 4 2" xfId="8676"/>
    <cellStyle name="Comma 3 6 4 4 2 2" xfId="8677"/>
    <cellStyle name="Comma 3 6 4 4 3" xfId="8678"/>
    <cellStyle name="Comma 3 6 4 5" xfId="8679"/>
    <cellStyle name="Comma 3 6 4 5 2" xfId="8680"/>
    <cellStyle name="Comma 3 6 4 5 2 2" xfId="8681"/>
    <cellStyle name="Comma 3 6 4 5 3" xfId="8682"/>
    <cellStyle name="Comma 3 6 4 6" xfId="8683"/>
    <cellStyle name="Comma 3 6 4 6 2" xfId="8684"/>
    <cellStyle name="Comma 3 6 4 7" xfId="8685"/>
    <cellStyle name="Comma 3 6 4 7 2" xfId="36224"/>
    <cellStyle name="Comma 3 6 4 8" xfId="8686"/>
    <cellStyle name="Comma 3 6 5" xfId="8687"/>
    <cellStyle name="Comma 3 6 5 2" xfId="8688"/>
    <cellStyle name="Comma 3 6 5 2 2" xfId="8689"/>
    <cellStyle name="Comma 3 6 5 2 2 2" xfId="8690"/>
    <cellStyle name="Comma 3 6 5 2 2 2 2" xfId="8691"/>
    <cellStyle name="Comma 3 6 5 2 2 2 3" xfId="8692"/>
    <cellStyle name="Comma 3 6 5 2 2 3" xfId="8693"/>
    <cellStyle name="Comma 3 6 5 2 2 3 2" xfId="8694"/>
    <cellStyle name="Comma 3 6 5 2 2 4" xfId="8695"/>
    <cellStyle name="Comma 3 6 5 2 3" xfId="8696"/>
    <cellStyle name="Comma 3 6 5 2 3 2" xfId="8697"/>
    <cellStyle name="Comma 3 6 5 2 3 2 2" xfId="8698"/>
    <cellStyle name="Comma 3 6 5 2 3 3" xfId="8699"/>
    <cellStyle name="Comma 3 6 5 2 4" xfId="8700"/>
    <cellStyle name="Comma 3 6 5 2 4 2" xfId="8701"/>
    <cellStyle name="Comma 3 6 5 2 4 3" xfId="8702"/>
    <cellStyle name="Comma 3 6 5 2 5" xfId="8703"/>
    <cellStyle name="Comma 3 6 5 2 5 2" xfId="8704"/>
    <cellStyle name="Comma 3 6 5 2 6" xfId="8705"/>
    <cellStyle name="Comma 3 6 5 2 6 2" xfId="36225"/>
    <cellStyle name="Comma 3 6 5 2 7" xfId="8706"/>
    <cellStyle name="Comma 3 6 5 3" xfId="8707"/>
    <cellStyle name="Comma 3 6 5 3 2" xfId="8708"/>
    <cellStyle name="Comma 3 6 5 3 2 2" xfId="8709"/>
    <cellStyle name="Comma 3 6 5 3 2 2 2" xfId="8710"/>
    <cellStyle name="Comma 3 6 5 3 2 3" xfId="8711"/>
    <cellStyle name="Comma 3 6 5 3 3" xfId="8712"/>
    <cellStyle name="Comma 3 6 5 3 3 2" xfId="8713"/>
    <cellStyle name="Comma 3 6 5 3 4" xfId="8714"/>
    <cellStyle name="Comma 3 6 5 4" xfId="8715"/>
    <cellStyle name="Comma 3 6 5 4 2" xfId="8716"/>
    <cellStyle name="Comma 3 6 5 4 2 2" xfId="8717"/>
    <cellStyle name="Comma 3 6 5 4 3" xfId="8718"/>
    <cellStyle name="Comma 3 6 5 5" xfId="8719"/>
    <cellStyle name="Comma 3 6 5 5 2" xfId="8720"/>
    <cellStyle name="Comma 3 6 5 5 2 2" xfId="8721"/>
    <cellStyle name="Comma 3 6 5 5 3" xfId="8722"/>
    <cellStyle name="Comma 3 6 5 6" xfId="8723"/>
    <cellStyle name="Comma 3 6 5 6 2" xfId="8724"/>
    <cellStyle name="Comma 3 6 5 7" xfId="8725"/>
    <cellStyle name="Comma 3 6 5 7 2" xfId="36226"/>
    <cellStyle name="Comma 3 6 5 8" xfId="8726"/>
    <cellStyle name="Comma 3 6 6" xfId="8727"/>
    <cellStyle name="Comma 3 6 7" xfId="8728"/>
    <cellStyle name="Comma 3 6 7 2" xfId="8729"/>
    <cellStyle name="Comma 3 6 7 2 2" xfId="8730"/>
    <cellStyle name="Comma 3 6 7 2 2 2" xfId="8731"/>
    <cellStyle name="Comma 3 6 7 2 2 3" xfId="8732"/>
    <cellStyle name="Comma 3 6 7 2 3" xfId="8733"/>
    <cellStyle name="Comma 3 6 7 2 3 2" xfId="8734"/>
    <cellStyle name="Comma 3 6 7 2 4" xfId="8735"/>
    <cellStyle name="Comma 3 6 7 3" xfId="8736"/>
    <cellStyle name="Comma 3 6 7 3 2" xfId="8737"/>
    <cellStyle name="Comma 3 6 7 3 2 2" xfId="8738"/>
    <cellStyle name="Comma 3 6 7 3 3" xfId="8739"/>
    <cellStyle name="Comma 3 6 7 4" xfId="8740"/>
    <cellStyle name="Comma 3 6 7 4 2" xfId="8741"/>
    <cellStyle name="Comma 3 6 7 4 3" xfId="8742"/>
    <cellStyle name="Comma 3 6 7 5" xfId="8743"/>
    <cellStyle name="Comma 3 6 7 5 2" xfId="8744"/>
    <cellStyle name="Comma 3 6 7 6" xfId="8745"/>
    <cellStyle name="Comma 3 6 7 6 2" xfId="36227"/>
    <cellStyle name="Comma 3 6 7 7" xfId="8746"/>
    <cellStyle name="Comma 3 6 8" xfId="8747"/>
    <cellStyle name="Comma 3 6 8 2" xfId="8748"/>
    <cellStyle name="Comma 3 6 8 2 2" xfId="8749"/>
    <cellStyle name="Comma 3 6 8 2 2 2" xfId="8750"/>
    <cellStyle name="Comma 3 6 8 2 3" xfId="8751"/>
    <cellStyle name="Comma 3 6 8 3" xfId="8752"/>
    <cellStyle name="Comma 3 6 8 3 2" xfId="8753"/>
    <cellStyle name="Comma 3 6 8 4" xfId="8754"/>
    <cellStyle name="Comma 3 6 9" xfId="8755"/>
    <cellStyle name="Comma 3 6 9 2" xfId="8756"/>
    <cellStyle name="Comma 3 6 9 2 2" xfId="8757"/>
    <cellStyle name="Comma 3 6 9 3" xfId="8758"/>
    <cellStyle name="Comma 3 7" xfId="8759"/>
    <cellStyle name="Comma 3 7 10" xfId="8760"/>
    <cellStyle name="Comma 3 7 2" xfId="8761"/>
    <cellStyle name="Comma 3 7 2 2" xfId="8762"/>
    <cellStyle name="Comma 3 7 2 2 2" xfId="8763"/>
    <cellStyle name="Comma 3 7 2 2 2 2" xfId="8764"/>
    <cellStyle name="Comma 3 7 2 2 2 2 2" xfId="8765"/>
    <cellStyle name="Comma 3 7 2 2 2 2 2 2" xfId="8766"/>
    <cellStyle name="Comma 3 7 2 2 2 2 2 3" xfId="8767"/>
    <cellStyle name="Comma 3 7 2 2 2 2 3" xfId="8768"/>
    <cellStyle name="Comma 3 7 2 2 2 2 3 2" xfId="8769"/>
    <cellStyle name="Comma 3 7 2 2 2 2 4" xfId="8770"/>
    <cellStyle name="Comma 3 7 2 2 2 3" xfId="8771"/>
    <cellStyle name="Comma 3 7 2 2 2 3 2" xfId="8772"/>
    <cellStyle name="Comma 3 7 2 2 2 3 2 2" xfId="8773"/>
    <cellStyle name="Comma 3 7 2 2 2 3 3" xfId="8774"/>
    <cellStyle name="Comma 3 7 2 2 2 4" xfId="8775"/>
    <cellStyle name="Comma 3 7 2 2 2 4 2" xfId="8776"/>
    <cellStyle name="Comma 3 7 2 2 2 4 3" xfId="8777"/>
    <cellStyle name="Comma 3 7 2 2 2 5" xfId="8778"/>
    <cellStyle name="Comma 3 7 2 2 2 5 2" xfId="8779"/>
    <cellStyle name="Comma 3 7 2 2 2 6" xfId="8780"/>
    <cellStyle name="Comma 3 7 2 2 2 6 2" xfId="36228"/>
    <cellStyle name="Comma 3 7 2 2 2 7" xfId="8781"/>
    <cellStyle name="Comma 3 7 2 2 3" xfId="8782"/>
    <cellStyle name="Comma 3 7 2 2 3 2" xfId="8783"/>
    <cellStyle name="Comma 3 7 2 2 3 2 2" xfId="8784"/>
    <cellStyle name="Comma 3 7 2 2 3 2 2 2" xfId="8785"/>
    <cellStyle name="Comma 3 7 2 2 3 2 3" xfId="8786"/>
    <cellStyle name="Comma 3 7 2 2 3 3" xfId="8787"/>
    <cellStyle name="Comma 3 7 2 2 3 3 2" xfId="8788"/>
    <cellStyle name="Comma 3 7 2 2 3 4" xfId="8789"/>
    <cellStyle name="Comma 3 7 2 2 4" xfId="8790"/>
    <cellStyle name="Comma 3 7 2 2 4 2" xfId="8791"/>
    <cellStyle name="Comma 3 7 2 2 4 2 2" xfId="8792"/>
    <cellStyle name="Comma 3 7 2 2 4 3" xfId="8793"/>
    <cellStyle name="Comma 3 7 2 2 5" xfId="8794"/>
    <cellStyle name="Comma 3 7 2 2 5 2" xfId="8795"/>
    <cellStyle name="Comma 3 7 2 2 5 2 2" xfId="8796"/>
    <cellStyle name="Comma 3 7 2 2 5 3" xfId="8797"/>
    <cellStyle name="Comma 3 7 2 2 6" xfId="8798"/>
    <cellStyle name="Comma 3 7 2 2 6 2" xfId="8799"/>
    <cellStyle name="Comma 3 7 2 2 7" xfId="8800"/>
    <cellStyle name="Comma 3 7 2 2 7 2" xfId="36229"/>
    <cellStyle name="Comma 3 7 2 2 8" xfId="8801"/>
    <cellStyle name="Comma 3 7 2 3" xfId="8802"/>
    <cellStyle name="Comma 3 7 2 3 2" xfId="8803"/>
    <cellStyle name="Comma 3 7 2 3 2 2" xfId="8804"/>
    <cellStyle name="Comma 3 7 2 3 2 2 2" xfId="8805"/>
    <cellStyle name="Comma 3 7 2 3 2 2 3" xfId="8806"/>
    <cellStyle name="Comma 3 7 2 3 2 3" xfId="8807"/>
    <cellStyle name="Comma 3 7 2 3 2 3 2" xfId="8808"/>
    <cellStyle name="Comma 3 7 2 3 2 4" xfId="8809"/>
    <cellStyle name="Comma 3 7 2 3 3" xfId="8810"/>
    <cellStyle name="Comma 3 7 2 3 3 2" xfId="8811"/>
    <cellStyle name="Comma 3 7 2 3 3 2 2" xfId="8812"/>
    <cellStyle name="Comma 3 7 2 3 3 3" xfId="8813"/>
    <cellStyle name="Comma 3 7 2 3 4" xfId="8814"/>
    <cellStyle name="Comma 3 7 2 3 4 2" xfId="8815"/>
    <cellStyle name="Comma 3 7 2 3 4 3" xfId="8816"/>
    <cellStyle name="Comma 3 7 2 3 5" xfId="8817"/>
    <cellStyle name="Comma 3 7 2 3 5 2" xfId="8818"/>
    <cellStyle name="Comma 3 7 2 3 6" xfId="8819"/>
    <cellStyle name="Comma 3 7 2 3 6 2" xfId="36230"/>
    <cellStyle name="Comma 3 7 2 3 7" xfId="8820"/>
    <cellStyle name="Comma 3 7 2 4" xfId="8821"/>
    <cellStyle name="Comma 3 7 2 4 2" xfId="8822"/>
    <cellStyle name="Comma 3 7 2 4 2 2" xfId="8823"/>
    <cellStyle name="Comma 3 7 2 4 2 2 2" xfId="8824"/>
    <cellStyle name="Comma 3 7 2 4 2 3" xfId="8825"/>
    <cellStyle name="Comma 3 7 2 4 3" xfId="8826"/>
    <cellStyle name="Comma 3 7 2 4 3 2" xfId="8827"/>
    <cellStyle name="Comma 3 7 2 4 4" xfId="8828"/>
    <cellStyle name="Comma 3 7 2 5" xfId="8829"/>
    <cellStyle name="Comma 3 7 2 5 2" xfId="8830"/>
    <cellStyle name="Comma 3 7 2 5 2 2" xfId="8831"/>
    <cellStyle name="Comma 3 7 2 5 3" xfId="8832"/>
    <cellStyle name="Comma 3 7 2 6" xfId="8833"/>
    <cellStyle name="Comma 3 7 2 6 2" xfId="8834"/>
    <cellStyle name="Comma 3 7 2 6 2 2" xfId="8835"/>
    <cellStyle name="Comma 3 7 2 6 3" xfId="8836"/>
    <cellStyle name="Comma 3 7 2 7" xfId="8837"/>
    <cellStyle name="Comma 3 7 2 7 2" xfId="8838"/>
    <cellStyle name="Comma 3 7 2 8" xfId="8839"/>
    <cellStyle name="Comma 3 7 2 8 2" xfId="36231"/>
    <cellStyle name="Comma 3 7 2 9" xfId="8840"/>
    <cellStyle name="Comma 3 7 3" xfId="8841"/>
    <cellStyle name="Comma 3 7 3 2" xfId="8842"/>
    <cellStyle name="Comma 3 7 3 2 2" xfId="8843"/>
    <cellStyle name="Comma 3 7 3 2 2 2" xfId="8844"/>
    <cellStyle name="Comma 3 7 3 2 2 2 2" xfId="8845"/>
    <cellStyle name="Comma 3 7 3 2 2 2 3" xfId="8846"/>
    <cellStyle name="Comma 3 7 3 2 2 3" xfId="8847"/>
    <cellStyle name="Comma 3 7 3 2 2 3 2" xfId="8848"/>
    <cellStyle name="Comma 3 7 3 2 2 4" xfId="8849"/>
    <cellStyle name="Comma 3 7 3 2 3" xfId="8850"/>
    <cellStyle name="Comma 3 7 3 2 3 2" xfId="8851"/>
    <cellStyle name="Comma 3 7 3 2 3 2 2" xfId="8852"/>
    <cellStyle name="Comma 3 7 3 2 3 3" xfId="8853"/>
    <cellStyle name="Comma 3 7 3 2 4" xfId="8854"/>
    <cellStyle name="Comma 3 7 3 2 4 2" xfId="8855"/>
    <cellStyle name="Comma 3 7 3 2 4 3" xfId="8856"/>
    <cellStyle name="Comma 3 7 3 2 5" xfId="8857"/>
    <cellStyle name="Comma 3 7 3 2 5 2" xfId="8858"/>
    <cellStyle name="Comma 3 7 3 2 6" xfId="8859"/>
    <cellStyle name="Comma 3 7 3 2 6 2" xfId="36232"/>
    <cellStyle name="Comma 3 7 3 2 7" xfId="8860"/>
    <cellStyle name="Comma 3 7 3 3" xfId="8861"/>
    <cellStyle name="Comma 3 7 3 3 2" xfId="8862"/>
    <cellStyle name="Comma 3 7 3 3 2 2" xfId="8863"/>
    <cellStyle name="Comma 3 7 3 3 2 2 2" xfId="8864"/>
    <cellStyle name="Comma 3 7 3 3 2 3" xfId="8865"/>
    <cellStyle name="Comma 3 7 3 3 3" xfId="8866"/>
    <cellStyle name="Comma 3 7 3 3 3 2" xfId="8867"/>
    <cellStyle name="Comma 3 7 3 3 4" xfId="8868"/>
    <cellStyle name="Comma 3 7 3 4" xfId="8869"/>
    <cellStyle name="Comma 3 7 3 4 2" xfId="8870"/>
    <cellStyle name="Comma 3 7 3 4 2 2" xfId="8871"/>
    <cellStyle name="Comma 3 7 3 4 3" xfId="8872"/>
    <cellStyle name="Comma 3 7 3 5" xfId="8873"/>
    <cellStyle name="Comma 3 7 3 5 2" xfId="8874"/>
    <cellStyle name="Comma 3 7 3 5 2 2" xfId="8875"/>
    <cellStyle name="Comma 3 7 3 5 3" xfId="8876"/>
    <cellStyle name="Comma 3 7 3 6" xfId="8877"/>
    <cellStyle name="Comma 3 7 3 6 2" xfId="8878"/>
    <cellStyle name="Comma 3 7 3 7" xfId="8879"/>
    <cellStyle name="Comma 3 7 3 7 2" xfId="36233"/>
    <cellStyle name="Comma 3 7 3 8" xfId="8880"/>
    <cellStyle name="Comma 3 7 4" xfId="8881"/>
    <cellStyle name="Comma 3 7 4 2" xfId="8882"/>
    <cellStyle name="Comma 3 7 4 2 2" xfId="8883"/>
    <cellStyle name="Comma 3 7 4 2 2 2" xfId="8884"/>
    <cellStyle name="Comma 3 7 4 2 2 3" xfId="8885"/>
    <cellStyle name="Comma 3 7 4 2 3" xfId="8886"/>
    <cellStyle name="Comma 3 7 4 2 3 2" xfId="8887"/>
    <cellStyle name="Comma 3 7 4 2 4" xfId="8888"/>
    <cellStyle name="Comma 3 7 4 3" xfId="8889"/>
    <cellStyle name="Comma 3 7 4 3 2" xfId="8890"/>
    <cellStyle name="Comma 3 7 4 3 2 2" xfId="8891"/>
    <cellStyle name="Comma 3 7 4 3 3" xfId="8892"/>
    <cellStyle name="Comma 3 7 4 4" xfId="8893"/>
    <cellStyle name="Comma 3 7 4 4 2" xfId="8894"/>
    <cellStyle name="Comma 3 7 4 4 3" xfId="8895"/>
    <cellStyle name="Comma 3 7 4 5" xfId="8896"/>
    <cellStyle name="Comma 3 7 4 5 2" xfId="8897"/>
    <cellStyle name="Comma 3 7 4 6" xfId="8898"/>
    <cellStyle name="Comma 3 7 4 6 2" xfId="36234"/>
    <cellStyle name="Comma 3 7 4 7" xfId="8899"/>
    <cellStyle name="Comma 3 7 5" xfId="8900"/>
    <cellStyle name="Comma 3 7 5 2" xfId="8901"/>
    <cellStyle name="Comma 3 7 5 2 2" xfId="8902"/>
    <cellStyle name="Comma 3 7 5 2 2 2" xfId="8903"/>
    <cellStyle name="Comma 3 7 5 2 3" xfId="8904"/>
    <cellStyle name="Comma 3 7 5 3" xfId="8905"/>
    <cellStyle name="Comma 3 7 5 3 2" xfId="8906"/>
    <cellStyle name="Comma 3 7 5 4" xfId="8907"/>
    <cellStyle name="Comma 3 7 6" xfId="8908"/>
    <cellStyle name="Comma 3 7 6 2" xfId="8909"/>
    <cellStyle name="Comma 3 7 6 2 2" xfId="8910"/>
    <cellStyle name="Comma 3 7 6 3" xfId="8911"/>
    <cellStyle name="Comma 3 7 7" xfId="8912"/>
    <cellStyle name="Comma 3 7 7 2" xfId="8913"/>
    <cellStyle name="Comma 3 7 7 2 2" xfId="8914"/>
    <cellStyle name="Comma 3 7 7 3" xfId="8915"/>
    <cellStyle name="Comma 3 7 8" xfId="8916"/>
    <cellStyle name="Comma 3 7 8 2" xfId="8917"/>
    <cellStyle name="Comma 3 7 9" xfId="8918"/>
    <cellStyle name="Comma 3 7 9 2" xfId="36235"/>
    <cellStyle name="Comma 3 8" xfId="8919"/>
    <cellStyle name="Comma 3 8 2" xfId="8920"/>
    <cellStyle name="Comma 3 8 2 2" xfId="8921"/>
    <cellStyle name="Comma 3 8 2 2 2" xfId="8922"/>
    <cellStyle name="Comma 3 8 2 2 2 2" xfId="8923"/>
    <cellStyle name="Comma 3 8 2 2 2 2 2" xfId="8924"/>
    <cellStyle name="Comma 3 8 2 2 2 2 3" xfId="8925"/>
    <cellStyle name="Comma 3 8 2 2 2 3" xfId="8926"/>
    <cellStyle name="Comma 3 8 2 2 2 3 2" xfId="8927"/>
    <cellStyle name="Comma 3 8 2 2 2 4" xfId="8928"/>
    <cellStyle name="Comma 3 8 2 2 3" xfId="8929"/>
    <cellStyle name="Comma 3 8 2 2 3 2" xfId="8930"/>
    <cellStyle name="Comma 3 8 2 2 3 2 2" xfId="8931"/>
    <cellStyle name="Comma 3 8 2 2 3 3" xfId="8932"/>
    <cellStyle name="Comma 3 8 2 2 4" xfId="8933"/>
    <cellStyle name="Comma 3 8 2 2 4 2" xfId="8934"/>
    <cellStyle name="Comma 3 8 2 2 4 3" xfId="8935"/>
    <cellStyle name="Comma 3 8 2 2 5" xfId="8936"/>
    <cellStyle name="Comma 3 8 2 2 5 2" xfId="8937"/>
    <cellStyle name="Comma 3 8 2 2 6" xfId="8938"/>
    <cellStyle name="Comma 3 8 2 2 6 2" xfId="36236"/>
    <cellStyle name="Comma 3 8 2 2 7" xfId="8939"/>
    <cellStyle name="Comma 3 8 2 3" xfId="8940"/>
    <cellStyle name="Comma 3 8 2 3 2" xfId="8941"/>
    <cellStyle name="Comma 3 8 2 3 2 2" xfId="8942"/>
    <cellStyle name="Comma 3 8 2 3 2 2 2" xfId="8943"/>
    <cellStyle name="Comma 3 8 2 3 2 3" xfId="8944"/>
    <cellStyle name="Comma 3 8 2 3 3" xfId="8945"/>
    <cellStyle name="Comma 3 8 2 3 3 2" xfId="8946"/>
    <cellStyle name="Comma 3 8 2 3 4" xfId="8947"/>
    <cellStyle name="Comma 3 8 2 4" xfId="8948"/>
    <cellStyle name="Comma 3 8 2 4 2" xfId="8949"/>
    <cellStyle name="Comma 3 8 2 4 2 2" xfId="8950"/>
    <cellStyle name="Comma 3 8 2 4 3" xfId="8951"/>
    <cellStyle name="Comma 3 8 2 5" xfId="8952"/>
    <cellStyle name="Comma 3 8 2 5 2" xfId="8953"/>
    <cellStyle name="Comma 3 8 2 5 2 2" xfId="8954"/>
    <cellStyle name="Comma 3 8 2 5 3" xfId="8955"/>
    <cellStyle name="Comma 3 8 2 6" xfId="8956"/>
    <cellStyle name="Comma 3 8 2 6 2" xfId="8957"/>
    <cellStyle name="Comma 3 8 2 7" xfId="8958"/>
    <cellStyle name="Comma 3 8 2 7 2" xfId="36237"/>
    <cellStyle name="Comma 3 8 2 8" xfId="8959"/>
    <cellStyle name="Comma 3 8 3" xfId="8960"/>
    <cellStyle name="Comma 3 8 3 2" xfId="8961"/>
    <cellStyle name="Comma 3 8 3 2 2" xfId="8962"/>
    <cellStyle name="Comma 3 8 3 2 2 2" xfId="8963"/>
    <cellStyle name="Comma 3 8 3 2 2 3" xfId="8964"/>
    <cellStyle name="Comma 3 8 3 2 3" xfId="8965"/>
    <cellStyle name="Comma 3 8 3 2 3 2" xfId="8966"/>
    <cellStyle name="Comma 3 8 3 2 4" xfId="8967"/>
    <cellStyle name="Comma 3 8 3 3" xfId="8968"/>
    <cellStyle name="Comma 3 8 3 3 2" xfId="8969"/>
    <cellStyle name="Comma 3 8 3 3 2 2" xfId="8970"/>
    <cellStyle name="Comma 3 8 3 3 3" xfId="8971"/>
    <cellStyle name="Comma 3 8 3 4" xfId="8972"/>
    <cellStyle name="Comma 3 8 3 4 2" xfId="8973"/>
    <cellStyle name="Comma 3 8 3 4 3" xfId="8974"/>
    <cellStyle name="Comma 3 8 3 5" xfId="8975"/>
    <cellStyle name="Comma 3 8 3 5 2" xfId="8976"/>
    <cellStyle name="Comma 3 8 3 6" xfId="8977"/>
    <cellStyle name="Comma 3 8 3 6 2" xfId="36238"/>
    <cellStyle name="Comma 3 8 3 7" xfId="8978"/>
    <cellStyle name="Comma 3 8 4" xfId="8979"/>
    <cellStyle name="Comma 3 8 4 2" xfId="8980"/>
    <cellStyle name="Comma 3 8 4 2 2" xfId="8981"/>
    <cellStyle name="Comma 3 8 4 2 2 2" xfId="8982"/>
    <cellStyle name="Comma 3 8 4 2 3" xfId="8983"/>
    <cellStyle name="Comma 3 8 4 3" xfId="8984"/>
    <cellStyle name="Comma 3 8 4 3 2" xfId="8985"/>
    <cellStyle name="Comma 3 8 4 4" xfId="8986"/>
    <cellStyle name="Comma 3 8 5" xfId="8987"/>
    <cellStyle name="Comma 3 8 5 2" xfId="8988"/>
    <cellStyle name="Comma 3 8 5 2 2" xfId="8989"/>
    <cellStyle name="Comma 3 8 5 3" xfId="8990"/>
    <cellStyle name="Comma 3 8 6" xfId="8991"/>
    <cellStyle name="Comma 3 8 6 2" xfId="8992"/>
    <cellStyle name="Comma 3 8 6 2 2" xfId="8993"/>
    <cellStyle name="Comma 3 8 6 3" xfId="8994"/>
    <cellStyle name="Comma 3 8 7" xfId="8995"/>
    <cellStyle name="Comma 3 8 7 2" xfId="8996"/>
    <cellStyle name="Comma 3 8 8" xfId="8997"/>
    <cellStyle name="Comma 3 8 8 2" xfId="36239"/>
    <cellStyle name="Comma 3 8 9" xfId="8998"/>
    <cellStyle name="Comma 3 9" xfId="8999"/>
    <cellStyle name="Comma 3 9 2" xfId="9000"/>
    <cellStyle name="Comma 3 9 2 2" xfId="9001"/>
    <cellStyle name="Comma 3 9 2 2 2" xfId="9002"/>
    <cellStyle name="Comma 3 9 2 2 2 2" xfId="9003"/>
    <cellStyle name="Comma 3 9 2 2 2 2 2" xfId="9004"/>
    <cellStyle name="Comma 3 9 2 2 2 2 3" xfId="9005"/>
    <cellStyle name="Comma 3 9 2 2 2 3" xfId="9006"/>
    <cellStyle name="Comma 3 9 2 2 2 3 2" xfId="9007"/>
    <cellStyle name="Comma 3 9 2 2 2 4" xfId="9008"/>
    <cellStyle name="Comma 3 9 2 2 3" xfId="9009"/>
    <cellStyle name="Comma 3 9 2 2 3 2" xfId="9010"/>
    <cellStyle name="Comma 3 9 2 2 3 2 2" xfId="9011"/>
    <cellStyle name="Comma 3 9 2 2 3 3" xfId="9012"/>
    <cellStyle name="Comma 3 9 2 2 4" xfId="9013"/>
    <cellStyle name="Comma 3 9 2 2 4 2" xfId="9014"/>
    <cellStyle name="Comma 3 9 2 2 4 3" xfId="9015"/>
    <cellStyle name="Comma 3 9 2 2 5" xfId="9016"/>
    <cellStyle name="Comma 3 9 2 2 5 2" xfId="9017"/>
    <cellStyle name="Comma 3 9 2 2 6" xfId="9018"/>
    <cellStyle name="Comma 3 9 2 2 6 2" xfId="36240"/>
    <cellStyle name="Comma 3 9 2 2 7" xfId="9019"/>
    <cellStyle name="Comma 3 9 2 3" xfId="9020"/>
    <cellStyle name="Comma 3 9 2 3 2" xfId="9021"/>
    <cellStyle name="Comma 3 9 2 3 2 2" xfId="9022"/>
    <cellStyle name="Comma 3 9 2 3 2 2 2" xfId="9023"/>
    <cellStyle name="Comma 3 9 2 3 2 3" xfId="9024"/>
    <cellStyle name="Comma 3 9 2 3 3" xfId="9025"/>
    <cellStyle name="Comma 3 9 2 3 3 2" xfId="9026"/>
    <cellStyle name="Comma 3 9 2 3 4" xfId="9027"/>
    <cellStyle name="Comma 3 9 2 4" xfId="9028"/>
    <cellStyle name="Comma 3 9 2 4 2" xfId="9029"/>
    <cellStyle name="Comma 3 9 2 4 2 2" xfId="9030"/>
    <cellStyle name="Comma 3 9 2 4 3" xfId="9031"/>
    <cellStyle name="Comma 3 9 2 5" xfId="9032"/>
    <cellStyle name="Comma 3 9 2 5 2" xfId="9033"/>
    <cellStyle name="Comma 3 9 2 5 2 2" xfId="9034"/>
    <cellStyle name="Comma 3 9 2 5 3" xfId="9035"/>
    <cellStyle name="Comma 3 9 2 6" xfId="9036"/>
    <cellStyle name="Comma 3 9 2 6 2" xfId="9037"/>
    <cellStyle name="Comma 3 9 2 7" xfId="9038"/>
    <cellStyle name="Comma 3 9 2 7 2" xfId="36241"/>
    <cellStyle name="Comma 3 9 2 8" xfId="9039"/>
    <cellStyle name="Comma 3 9 3" xfId="9040"/>
    <cellStyle name="Comma 3 9 3 2" xfId="9041"/>
    <cellStyle name="Comma 3 9 3 2 2" xfId="9042"/>
    <cellStyle name="Comma 3 9 3 2 2 2" xfId="9043"/>
    <cellStyle name="Comma 3 9 3 2 2 3" xfId="9044"/>
    <cellStyle name="Comma 3 9 3 2 3" xfId="9045"/>
    <cellStyle name="Comma 3 9 3 2 3 2" xfId="9046"/>
    <cellStyle name="Comma 3 9 3 2 4" xfId="9047"/>
    <cellStyle name="Comma 3 9 3 3" xfId="9048"/>
    <cellStyle name="Comma 3 9 3 3 2" xfId="9049"/>
    <cellStyle name="Comma 3 9 3 3 2 2" xfId="9050"/>
    <cellStyle name="Comma 3 9 3 3 3" xfId="9051"/>
    <cellStyle name="Comma 3 9 3 4" xfId="9052"/>
    <cellStyle name="Comma 3 9 3 4 2" xfId="9053"/>
    <cellStyle name="Comma 3 9 3 4 3" xfId="9054"/>
    <cellStyle name="Comma 3 9 3 5" xfId="9055"/>
    <cellStyle name="Comma 3 9 3 5 2" xfId="9056"/>
    <cellStyle name="Comma 3 9 3 6" xfId="9057"/>
    <cellStyle name="Comma 3 9 3 6 2" xfId="36242"/>
    <cellStyle name="Comma 3 9 3 7" xfId="9058"/>
    <cellStyle name="Comma 3 9 4" xfId="9059"/>
    <cellStyle name="Comma 3 9 4 2" xfId="9060"/>
    <cellStyle name="Comma 3 9 4 2 2" xfId="9061"/>
    <cellStyle name="Comma 3 9 4 2 2 2" xfId="9062"/>
    <cellStyle name="Comma 3 9 4 2 3" xfId="9063"/>
    <cellStyle name="Comma 3 9 4 3" xfId="9064"/>
    <cellStyle name="Comma 3 9 4 3 2" xfId="9065"/>
    <cellStyle name="Comma 3 9 4 4" xfId="9066"/>
    <cellStyle name="Comma 3 9 5" xfId="9067"/>
    <cellStyle name="Comma 3 9 5 2" xfId="9068"/>
    <cellStyle name="Comma 3 9 5 2 2" xfId="9069"/>
    <cellStyle name="Comma 3 9 5 3" xfId="9070"/>
    <cellStyle name="Comma 3 9 6" xfId="9071"/>
    <cellStyle name="Comma 3 9 6 2" xfId="9072"/>
    <cellStyle name="Comma 3 9 6 2 2" xfId="9073"/>
    <cellStyle name="Comma 3 9 6 3" xfId="9074"/>
    <cellStyle name="Comma 3 9 7" xfId="9075"/>
    <cellStyle name="Comma 3 9 7 2" xfId="9076"/>
    <cellStyle name="Comma 3 9 8" xfId="9077"/>
    <cellStyle name="Comma 3 9 8 2" xfId="36243"/>
    <cellStyle name="Comma 3 9 9" xfId="9078"/>
    <cellStyle name="Comma 4" xfId="46"/>
    <cellStyle name="Comma 5" xfId="37757"/>
    <cellStyle name="Comma 6" xfId="37767"/>
    <cellStyle name="Comma 7" xfId="37884"/>
    <cellStyle name="Comma0" xfId="47"/>
    <cellStyle name="Currency" xfId="37764" builtinId="4"/>
    <cellStyle name="Currency [0] 2" xfId="9079"/>
    <cellStyle name="Currency [0] 3" xfId="9080"/>
    <cellStyle name="Currency [0] 4" xfId="9081"/>
    <cellStyle name="Currency 10" xfId="37885"/>
    <cellStyle name="Currency 2" xfId="48"/>
    <cellStyle name="Currency 2 10" xfId="9082"/>
    <cellStyle name="Currency 2 10 2" xfId="9083"/>
    <cellStyle name="Currency 2 10 2 2" xfId="9084"/>
    <cellStyle name="Currency 2 10 2 2 2" xfId="9085"/>
    <cellStyle name="Currency 2 10 2 2 2 2" xfId="9086"/>
    <cellStyle name="Currency 2 10 2 2 2 3" xfId="9087"/>
    <cellStyle name="Currency 2 10 2 2 3" xfId="9088"/>
    <cellStyle name="Currency 2 10 2 2 3 2" xfId="9089"/>
    <cellStyle name="Currency 2 10 2 2 4" xfId="9090"/>
    <cellStyle name="Currency 2 10 2 3" xfId="9091"/>
    <cellStyle name="Currency 2 10 2 3 2" xfId="9092"/>
    <cellStyle name="Currency 2 10 2 3 2 2" xfId="9093"/>
    <cellStyle name="Currency 2 10 2 3 3" xfId="9094"/>
    <cellStyle name="Currency 2 10 2 4" xfId="9095"/>
    <cellStyle name="Currency 2 10 2 4 2" xfId="9096"/>
    <cellStyle name="Currency 2 10 2 4 3" xfId="9097"/>
    <cellStyle name="Currency 2 10 2 5" xfId="9098"/>
    <cellStyle name="Currency 2 10 2 5 2" xfId="9099"/>
    <cellStyle name="Currency 2 10 2 6" xfId="9100"/>
    <cellStyle name="Currency 2 10 2 6 2" xfId="36244"/>
    <cellStyle name="Currency 2 10 2 7" xfId="9101"/>
    <cellStyle name="Currency 2 10 3" xfId="9102"/>
    <cellStyle name="Currency 2 10 3 2" xfId="9103"/>
    <cellStyle name="Currency 2 10 3 2 2" xfId="9104"/>
    <cellStyle name="Currency 2 10 3 2 2 2" xfId="9105"/>
    <cellStyle name="Currency 2 10 3 2 3" xfId="9106"/>
    <cellStyle name="Currency 2 10 3 3" xfId="9107"/>
    <cellStyle name="Currency 2 10 3 3 2" xfId="9108"/>
    <cellStyle name="Currency 2 10 3 4" xfId="9109"/>
    <cellStyle name="Currency 2 10 4" xfId="9110"/>
    <cellStyle name="Currency 2 10 4 2" xfId="9111"/>
    <cellStyle name="Currency 2 10 4 2 2" xfId="9112"/>
    <cellStyle name="Currency 2 10 4 3" xfId="9113"/>
    <cellStyle name="Currency 2 10 5" xfId="9114"/>
    <cellStyle name="Currency 2 10 5 2" xfId="9115"/>
    <cellStyle name="Currency 2 10 5 2 2" xfId="9116"/>
    <cellStyle name="Currency 2 10 5 3" xfId="9117"/>
    <cellStyle name="Currency 2 10 6" xfId="9118"/>
    <cellStyle name="Currency 2 10 6 2" xfId="9119"/>
    <cellStyle name="Currency 2 10 7" xfId="9120"/>
    <cellStyle name="Currency 2 10 7 2" xfId="36245"/>
    <cellStyle name="Currency 2 10 8" xfId="9121"/>
    <cellStyle name="Currency 2 11" xfId="9122"/>
    <cellStyle name="Currency 2 11 2" xfId="9123"/>
    <cellStyle name="Currency 2 11 2 2" xfId="9124"/>
    <cellStyle name="Currency 2 11 2 2 2" xfId="9125"/>
    <cellStyle name="Currency 2 11 2 2 2 2" xfId="9126"/>
    <cellStyle name="Currency 2 11 2 2 2 3" xfId="9127"/>
    <cellStyle name="Currency 2 11 2 2 3" xfId="9128"/>
    <cellStyle name="Currency 2 11 2 2 3 2" xfId="9129"/>
    <cellStyle name="Currency 2 11 2 2 4" xfId="9130"/>
    <cellStyle name="Currency 2 11 2 3" xfId="9131"/>
    <cellStyle name="Currency 2 11 2 3 2" xfId="9132"/>
    <cellStyle name="Currency 2 11 2 3 2 2" xfId="9133"/>
    <cellStyle name="Currency 2 11 2 3 3" xfId="9134"/>
    <cellStyle name="Currency 2 11 2 4" xfId="9135"/>
    <cellStyle name="Currency 2 11 2 4 2" xfId="9136"/>
    <cellStyle name="Currency 2 11 2 4 3" xfId="9137"/>
    <cellStyle name="Currency 2 11 2 5" xfId="9138"/>
    <cellStyle name="Currency 2 11 2 5 2" xfId="9139"/>
    <cellStyle name="Currency 2 11 2 6" xfId="9140"/>
    <cellStyle name="Currency 2 11 2 6 2" xfId="36246"/>
    <cellStyle name="Currency 2 11 2 7" xfId="9141"/>
    <cellStyle name="Currency 2 11 3" xfId="9142"/>
    <cellStyle name="Currency 2 11 3 2" xfId="9143"/>
    <cellStyle name="Currency 2 11 3 2 2" xfId="9144"/>
    <cellStyle name="Currency 2 11 3 2 2 2" xfId="9145"/>
    <cellStyle name="Currency 2 11 3 2 3" xfId="9146"/>
    <cellStyle name="Currency 2 11 3 3" xfId="9147"/>
    <cellStyle name="Currency 2 11 3 3 2" xfId="9148"/>
    <cellStyle name="Currency 2 11 3 4" xfId="9149"/>
    <cellStyle name="Currency 2 11 4" xfId="9150"/>
    <cellStyle name="Currency 2 11 4 2" xfId="9151"/>
    <cellStyle name="Currency 2 11 4 2 2" xfId="9152"/>
    <cellStyle name="Currency 2 11 4 3" xfId="9153"/>
    <cellStyle name="Currency 2 11 5" xfId="9154"/>
    <cellStyle name="Currency 2 11 5 2" xfId="9155"/>
    <cellStyle name="Currency 2 11 5 2 2" xfId="9156"/>
    <cellStyle name="Currency 2 11 5 3" xfId="9157"/>
    <cellStyle name="Currency 2 11 6" xfId="9158"/>
    <cellStyle name="Currency 2 11 6 2" xfId="9159"/>
    <cellStyle name="Currency 2 11 7" xfId="9160"/>
    <cellStyle name="Currency 2 11 7 2" xfId="36247"/>
    <cellStyle name="Currency 2 11 8" xfId="9161"/>
    <cellStyle name="Currency 2 12" xfId="9162"/>
    <cellStyle name="Currency 2 12 2" xfId="9163"/>
    <cellStyle name="Currency 2 12 2 2" xfId="9164"/>
    <cellStyle name="Currency 2 12 2 2 2" xfId="9165"/>
    <cellStyle name="Currency 2 12 2 2 2 2" xfId="9166"/>
    <cellStyle name="Currency 2 12 2 2 2 3" xfId="9167"/>
    <cellStyle name="Currency 2 12 2 2 3" xfId="9168"/>
    <cellStyle name="Currency 2 12 2 2 3 2" xfId="9169"/>
    <cellStyle name="Currency 2 12 2 2 4" xfId="9170"/>
    <cellStyle name="Currency 2 12 2 3" xfId="9171"/>
    <cellStyle name="Currency 2 12 2 3 2" xfId="9172"/>
    <cellStyle name="Currency 2 12 2 3 2 2" xfId="9173"/>
    <cellStyle name="Currency 2 12 2 3 3" xfId="9174"/>
    <cellStyle name="Currency 2 12 2 4" xfId="9175"/>
    <cellStyle name="Currency 2 12 2 4 2" xfId="9176"/>
    <cellStyle name="Currency 2 12 2 4 3" xfId="9177"/>
    <cellStyle name="Currency 2 12 2 5" xfId="9178"/>
    <cellStyle name="Currency 2 12 2 5 2" xfId="9179"/>
    <cellStyle name="Currency 2 12 2 6" xfId="9180"/>
    <cellStyle name="Currency 2 12 2 6 2" xfId="36248"/>
    <cellStyle name="Currency 2 12 2 7" xfId="9181"/>
    <cellStyle name="Currency 2 12 3" xfId="9182"/>
    <cellStyle name="Currency 2 12 3 2" xfId="9183"/>
    <cellStyle name="Currency 2 12 3 2 2" xfId="9184"/>
    <cellStyle name="Currency 2 12 3 2 2 2" xfId="9185"/>
    <cellStyle name="Currency 2 12 3 2 3" xfId="9186"/>
    <cellStyle name="Currency 2 12 3 3" xfId="9187"/>
    <cellStyle name="Currency 2 12 3 3 2" xfId="9188"/>
    <cellStyle name="Currency 2 12 3 4" xfId="9189"/>
    <cellStyle name="Currency 2 12 4" xfId="9190"/>
    <cellStyle name="Currency 2 12 4 2" xfId="9191"/>
    <cellStyle name="Currency 2 12 4 2 2" xfId="9192"/>
    <cellStyle name="Currency 2 12 4 3" xfId="9193"/>
    <cellStyle name="Currency 2 12 5" xfId="9194"/>
    <cellStyle name="Currency 2 12 5 2" xfId="9195"/>
    <cellStyle name="Currency 2 12 5 2 2" xfId="9196"/>
    <cellStyle name="Currency 2 12 5 3" xfId="9197"/>
    <cellStyle name="Currency 2 12 6" xfId="9198"/>
    <cellStyle name="Currency 2 12 6 2" xfId="9199"/>
    <cellStyle name="Currency 2 12 7" xfId="9200"/>
    <cellStyle name="Currency 2 12 7 2" xfId="36249"/>
    <cellStyle name="Currency 2 12 8" xfId="9201"/>
    <cellStyle name="Currency 2 13" xfId="9202"/>
    <cellStyle name="Currency 2 13 2" xfId="9203"/>
    <cellStyle name="Currency 2 13 2 2" xfId="9204"/>
    <cellStyle name="Currency 2 13 2 2 2" xfId="9205"/>
    <cellStyle name="Currency 2 13 2 2 3" xfId="9206"/>
    <cellStyle name="Currency 2 13 2 3" xfId="9207"/>
    <cellStyle name="Currency 2 13 2 3 2" xfId="9208"/>
    <cellStyle name="Currency 2 13 2 4" xfId="9209"/>
    <cellStyle name="Currency 2 13 3" xfId="9210"/>
    <cellStyle name="Currency 2 13 3 2" xfId="9211"/>
    <cellStyle name="Currency 2 13 3 2 2" xfId="9212"/>
    <cellStyle name="Currency 2 13 3 3" xfId="9213"/>
    <cellStyle name="Currency 2 13 4" xfId="9214"/>
    <cellStyle name="Currency 2 13 4 2" xfId="9215"/>
    <cellStyle name="Currency 2 13 4 3" xfId="9216"/>
    <cellStyle name="Currency 2 13 5" xfId="9217"/>
    <cellStyle name="Currency 2 13 5 2" xfId="9218"/>
    <cellStyle name="Currency 2 13 6" xfId="9219"/>
    <cellStyle name="Currency 2 13 6 2" xfId="36250"/>
    <cellStyle name="Currency 2 13 7" xfId="9220"/>
    <cellStyle name="Currency 2 14" xfId="9221"/>
    <cellStyle name="Currency 2 14 2" xfId="9222"/>
    <cellStyle name="Currency 2 14 2 2" xfId="9223"/>
    <cellStyle name="Currency 2 14 2 2 2" xfId="9224"/>
    <cellStyle name="Currency 2 14 2 3" xfId="9225"/>
    <cellStyle name="Currency 2 14 3" xfId="9226"/>
    <cellStyle name="Currency 2 14 3 2" xfId="9227"/>
    <cellStyle name="Currency 2 14 4" xfId="9228"/>
    <cellStyle name="Currency 2 15" xfId="9229"/>
    <cellStyle name="Currency 2 15 2" xfId="9230"/>
    <cellStyle name="Currency 2 15 2 2" xfId="9231"/>
    <cellStyle name="Currency 2 15 3" xfId="9232"/>
    <cellStyle name="Currency 2 16" xfId="9233"/>
    <cellStyle name="Currency 2 16 2" xfId="9234"/>
    <cellStyle name="Currency 2 16 2 2" xfId="9235"/>
    <cellStyle name="Currency 2 16 3" xfId="9236"/>
    <cellStyle name="Currency 2 17" xfId="9237"/>
    <cellStyle name="Currency 2 17 2" xfId="9238"/>
    <cellStyle name="Currency 2 18" xfId="9239"/>
    <cellStyle name="Currency 2 18 2" xfId="36251"/>
    <cellStyle name="Currency 2 19" xfId="9240"/>
    <cellStyle name="Currency 2 2" xfId="9241"/>
    <cellStyle name="Currency 2 2 10" xfId="9242"/>
    <cellStyle name="Currency 2 2 10 2" xfId="9243"/>
    <cellStyle name="Currency 2 2 10 2 2" xfId="9244"/>
    <cellStyle name="Currency 2 2 10 2 2 2" xfId="9245"/>
    <cellStyle name="Currency 2 2 10 2 2 2 2" xfId="9246"/>
    <cellStyle name="Currency 2 2 10 2 2 2 3" xfId="9247"/>
    <cellStyle name="Currency 2 2 10 2 2 3" xfId="9248"/>
    <cellStyle name="Currency 2 2 10 2 2 3 2" xfId="9249"/>
    <cellStyle name="Currency 2 2 10 2 2 4" xfId="9250"/>
    <cellStyle name="Currency 2 2 10 2 3" xfId="9251"/>
    <cellStyle name="Currency 2 2 10 2 3 2" xfId="9252"/>
    <cellStyle name="Currency 2 2 10 2 3 2 2" xfId="9253"/>
    <cellStyle name="Currency 2 2 10 2 3 3" xfId="9254"/>
    <cellStyle name="Currency 2 2 10 2 4" xfId="9255"/>
    <cellStyle name="Currency 2 2 10 2 4 2" xfId="9256"/>
    <cellStyle name="Currency 2 2 10 2 4 3" xfId="9257"/>
    <cellStyle name="Currency 2 2 10 2 5" xfId="9258"/>
    <cellStyle name="Currency 2 2 10 2 5 2" xfId="9259"/>
    <cellStyle name="Currency 2 2 10 2 6" xfId="9260"/>
    <cellStyle name="Currency 2 2 10 2 6 2" xfId="36252"/>
    <cellStyle name="Currency 2 2 10 2 7" xfId="9261"/>
    <cellStyle name="Currency 2 2 10 3" xfId="9262"/>
    <cellStyle name="Currency 2 2 10 3 2" xfId="9263"/>
    <cellStyle name="Currency 2 2 10 3 2 2" xfId="9264"/>
    <cellStyle name="Currency 2 2 10 3 2 2 2" xfId="9265"/>
    <cellStyle name="Currency 2 2 10 3 2 3" xfId="9266"/>
    <cellStyle name="Currency 2 2 10 3 3" xfId="9267"/>
    <cellStyle name="Currency 2 2 10 3 3 2" xfId="9268"/>
    <cellStyle name="Currency 2 2 10 3 4" xfId="9269"/>
    <cellStyle name="Currency 2 2 10 4" xfId="9270"/>
    <cellStyle name="Currency 2 2 10 4 2" xfId="9271"/>
    <cellStyle name="Currency 2 2 10 4 2 2" xfId="9272"/>
    <cellStyle name="Currency 2 2 10 4 3" xfId="9273"/>
    <cellStyle name="Currency 2 2 10 5" xfId="9274"/>
    <cellStyle name="Currency 2 2 10 5 2" xfId="9275"/>
    <cellStyle name="Currency 2 2 10 5 2 2" xfId="9276"/>
    <cellStyle name="Currency 2 2 10 5 3" xfId="9277"/>
    <cellStyle name="Currency 2 2 10 6" xfId="9278"/>
    <cellStyle name="Currency 2 2 10 6 2" xfId="9279"/>
    <cellStyle name="Currency 2 2 10 7" xfId="9280"/>
    <cellStyle name="Currency 2 2 10 7 2" xfId="36253"/>
    <cellStyle name="Currency 2 2 10 8" xfId="9281"/>
    <cellStyle name="Currency 2 2 11" xfId="9282"/>
    <cellStyle name="Currency 2 2 11 2" xfId="9283"/>
    <cellStyle name="Currency 2 2 11 2 2" xfId="9284"/>
    <cellStyle name="Currency 2 2 11 2 2 2" xfId="9285"/>
    <cellStyle name="Currency 2 2 11 2 2 2 2" xfId="9286"/>
    <cellStyle name="Currency 2 2 11 2 2 2 3" xfId="9287"/>
    <cellStyle name="Currency 2 2 11 2 2 3" xfId="9288"/>
    <cellStyle name="Currency 2 2 11 2 2 3 2" xfId="9289"/>
    <cellStyle name="Currency 2 2 11 2 2 4" xfId="9290"/>
    <cellStyle name="Currency 2 2 11 2 3" xfId="9291"/>
    <cellStyle name="Currency 2 2 11 2 3 2" xfId="9292"/>
    <cellStyle name="Currency 2 2 11 2 3 2 2" xfId="9293"/>
    <cellStyle name="Currency 2 2 11 2 3 3" xfId="9294"/>
    <cellStyle name="Currency 2 2 11 2 4" xfId="9295"/>
    <cellStyle name="Currency 2 2 11 2 4 2" xfId="9296"/>
    <cellStyle name="Currency 2 2 11 2 4 3" xfId="9297"/>
    <cellStyle name="Currency 2 2 11 2 5" xfId="9298"/>
    <cellStyle name="Currency 2 2 11 2 5 2" xfId="9299"/>
    <cellStyle name="Currency 2 2 11 2 6" xfId="9300"/>
    <cellStyle name="Currency 2 2 11 2 6 2" xfId="36254"/>
    <cellStyle name="Currency 2 2 11 2 7" xfId="9301"/>
    <cellStyle name="Currency 2 2 11 3" xfId="9302"/>
    <cellStyle name="Currency 2 2 11 3 2" xfId="9303"/>
    <cellStyle name="Currency 2 2 11 3 2 2" xfId="9304"/>
    <cellStyle name="Currency 2 2 11 3 2 2 2" xfId="9305"/>
    <cellStyle name="Currency 2 2 11 3 2 3" xfId="9306"/>
    <cellStyle name="Currency 2 2 11 3 3" xfId="9307"/>
    <cellStyle name="Currency 2 2 11 3 3 2" xfId="9308"/>
    <cellStyle name="Currency 2 2 11 3 4" xfId="9309"/>
    <cellStyle name="Currency 2 2 11 4" xfId="9310"/>
    <cellStyle name="Currency 2 2 11 4 2" xfId="9311"/>
    <cellStyle name="Currency 2 2 11 4 2 2" xfId="9312"/>
    <cellStyle name="Currency 2 2 11 4 3" xfId="9313"/>
    <cellStyle name="Currency 2 2 11 5" xfId="9314"/>
    <cellStyle name="Currency 2 2 11 5 2" xfId="9315"/>
    <cellStyle name="Currency 2 2 11 5 2 2" xfId="9316"/>
    <cellStyle name="Currency 2 2 11 5 3" xfId="9317"/>
    <cellStyle name="Currency 2 2 11 6" xfId="9318"/>
    <cellStyle name="Currency 2 2 11 6 2" xfId="9319"/>
    <cellStyle name="Currency 2 2 11 7" xfId="9320"/>
    <cellStyle name="Currency 2 2 11 7 2" xfId="36255"/>
    <cellStyle name="Currency 2 2 11 8" xfId="9321"/>
    <cellStyle name="Currency 2 2 12" xfId="9322"/>
    <cellStyle name="Currency 2 2 12 2" xfId="9323"/>
    <cellStyle name="Currency 2 2 12 2 2" xfId="9324"/>
    <cellStyle name="Currency 2 2 12 2 2 2" xfId="9325"/>
    <cellStyle name="Currency 2 2 12 2 2 3" xfId="9326"/>
    <cellStyle name="Currency 2 2 12 2 3" xfId="9327"/>
    <cellStyle name="Currency 2 2 12 2 3 2" xfId="9328"/>
    <cellStyle name="Currency 2 2 12 2 4" xfId="9329"/>
    <cellStyle name="Currency 2 2 12 3" xfId="9330"/>
    <cellStyle name="Currency 2 2 12 3 2" xfId="9331"/>
    <cellStyle name="Currency 2 2 12 3 2 2" xfId="9332"/>
    <cellStyle name="Currency 2 2 12 3 3" xfId="9333"/>
    <cellStyle name="Currency 2 2 12 4" xfId="9334"/>
    <cellStyle name="Currency 2 2 12 4 2" xfId="9335"/>
    <cellStyle name="Currency 2 2 12 4 3" xfId="9336"/>
    <cellStyle name="Currency 2 2 12 5" xfId="9337"/>
    <cellStyle name="Currency 2 2 12 5 2" xfId="9338"/>
    <cellStyle name="Currency 2 2 12 6" xfId="9339"/>
    <cellStyle name="Currency 2 2 12 6 2" xfId="36256"/>
    <cellStyle name="Currency 2 2 12 7" xfId="9340"/>
    <cellStyle name="Currency 2 2 13" xfId="9341"/>
    <cellStyle name="Currency 2 2 13 2" xfId="9342"/>
    <cellStyle name="Currency 2 2 13 2 2" xfId="9343"/>
    <cellStyle name="Currency 2 2 13 2 2 2" xfId="9344"/>
    <cellStyle name="Currency 2 2 13 2 3" xfId="9345"/>
    <cellStyle name="Currency 2 2 13 3" xfId="9346"/>
    <cellStyle name="Currency 2 2 13 3 2" xfId="9347"/>
    <cellStyle name="Currency 2 2 13 4" xfId="9348"/>
    <cellStyle name="Currency 2 2 14" xfId="9349"/>
    <cellStyle name="Currency 2 2 14 2" xfId="9350"/>
    <cellStyle name="Currency 2 2 14 2 2" xfId="9351"/>
    <cellStyle name="Currency 2 2 14 3" xfId="9352"/>
    <cellStyle name="Currency 2 2 15" xfId="9353"/>
    <cellStyle name="Currency 2 2 15 2" xfId="9354"/>
    <cellStyle name="Currency 2 2 15 2 2" xfId="9355"/>
    <cellStyle name="Currency 2 2 15 3" xfId="9356"/>
    <cellStyle name="Currency 2 2 16" xfId="9357"/>
    <cellStyle name="Currency 2 2 16 2" xfId="9358"/>
    <cellStyle name="Currency 2 2 17" xfId="9359"/>
    <cellStyle name="Currency 2 2 17 2" xfId="36257"/>
    <cellStyle name="Currency 2 2 18" xfId="9360"/>
    <cellStyle name="Currency 2 2 2" xfId="9361"/>
    <cellStyle name="Currency 2 2 2 10" xfId="9362"/>
    <cellStyle name="Currency 2 2 2 10 2" xfId="9363"/>
    <cellStyle name="Currency 2 2 2 10 2 2" xfId="9364"/>
    <cellStyle name="Currency 2 2 2 10 3" xfId="9365"/>
    <cellStyle name="Currency 2 2 2 11" xfId="9366"/>
    <cellStyle name="Currency 2 2 2 11 2" xfId="9367"/>
    <cellStyle name="Currency 2 2 2 11 2 2" xfId="9368"/>
    <cellStyle name="Currency 2 2 2 11 3" xfId="9369"/>
    <cellStyle name="Currency 2 2 2 12" xfId="9370"/>
    <cellStyle name="Currency 2 2 2 12 2" xfId="9371"/>
    <cellStyle name="Currency 2 2 2 13" xfId="9372"/>
    <cellStyle name="Currency 2 2 2 13 2" xfId="36258"/>
    <cellStyle name="Currency 2 2 2 14" xfId="9373"/>
    <cellStyle name="Currency 2 2 2 2" xfId="9374"/>
    <cellStyle name="Currency 2 2 2 2 10" xfId="9375"/>
    <cellStyle name="Currency 2 2 2 2 2" xfId="9376"/>
    <cellStyle name="Currency 2 2 2 2 2 2" xfId="9377"/>
    <cellStyle name="Currency 2 2 2 2 2 2 2" xfId="9378"/>
    <cellStyle name="Currency 2 2 2 2 2 2 2 2" xfId="9379"/>
    <cellStyle name="Currency 2 2 2 2 2 2 2 2 2" xfId="9380"/>
    <cellStyle name="Currency 2 2 2 2 2 2 2 2 2 2" xfId="9381"/>
    <cellStyle name="Currency 2 2 2 2 2 2 2 2 2 3" xfId="9382"/>
    <cellStyle name="Currency 2 2 2 2 2 2 2 2 3" xfId="9383"/>
    <cellStyle name="Currency 2 2 2 2 2 2 2 2 3 2" xfId="9384"/>
    <cellStyle name="Currency 2 2 2 2 2 2 2 2 4" xfId="9385"/>
    <cellStyle name="Currency 2 2 2 2 2 2 2 3" xfId="9386"/>
    <cellStyle name="Currency 2 2 2 2 2 2 2 3 2" xfId="9387"/>
    <cellStyle name="Currency 2 2 2 2 2 2 2 3 2 2" xfId="9388"/>
    <cellStyle name="Currency 2 2 2 2 2 2 2 3 3" xfId="9389"/>
    <cellStyle name="Currency 2 2 2 2 2 2 2 4" xfId="9390"/>
    <cellStyle name="Currency 2 2 2 2 2 2 2 4 2" xfId="9391"/>
    <cellStyle name="Currency 2 2 2 2 2 2 2 4 3" xfId="9392"/>
    <cellStyle name="Currency 2 2 2 2 2 2 2 5" xfId="9393"/>
    <cellStyle name="Currency 2 2 2 2 2 2 2 5 2" xfId="9394"/>
    <cellStyle name="Currency 2 2 2 2 2 2 2 6" xfId="9395"/>
    <cellStyle name="Currency 2 2 2 2 2 2 2 6 2" xfId="36259"/>
    <cellStyle name="Currency 2 2 2 2 2 2 2 7" xfId="9396"/>
    <cellStyle name="Currency 2 2 2 2 2 2 3" xfId="9397"/>
    <cellStyle name="Currency 2 2 2 2 2 2 3 2" xfId="9398"/>
    <cellStyle name="Currency 2 2 2 2 2 2 3 2 2" xfId="9399"/>
    <cellStyle name="Currency 2 2 2 2 2 2 3 2 2 2" xfId="9400"/>
    <cellStyle name="Currency 2 2 2 2 2 2 3 2 3" xfId="9401"/>
    <cellStyle name="Currency 2 2 2 2 2 2 3 3" xfId="9402"/>
    <cellStyle name="Currency 2 2 2 2 2 2 3 3 2" xfId="9403"/>
    <cellStyle name="Currency 2 2 2 2 2 2 3 4" xfId="9404"/>
    <cellStyle name="Currency 2 2 2 2 2 2 4" xfId="9405"/>
    <cellStyle name="Currency 2 2 2 2 2 2 4 2" xfId="9406"/>
    <cellStyle name="Currency 2 2 2 2 2 2 4 2 2" xfId="9407"/>
    <cellStyle name="Currency 2 2 2 2 2 2 4 3" xfId="9408"/>
    <cellStyle name="Currency 2 2 2 2 2 2 5" xfId="9409"/>
    <cellStyle name="Currency 2 2 2 2 2 2 5 2" xfId="9410"/>
    <cellStyle name="Currency 2 2 2 2 2 2 5 2 2" xfId="9411"/>
    <cellStyle name="Currency 2 2 2 2 2 2 5 3" xfId="9412"/>
    <cellStyle name="Currency 2 2 2 2 2 2 6" xfId="9413"/>
    <cellStyle name="Currency 2 2 2 2 2 2 6 2" xfId="9414"/>
    <cellStyle name="Currency 2 2 2 2 2 2 7" xfId="9415"/>
    <cellStyle name="Currency 2 2 2 2 2 2 7 2" xfId="36260"/>
    <cellStyle name="Currency 2 2 2 2 2 2 8" xfId="9416"/>
    <cellStyle name="Currency 2 2 2 2 2 3" xfId="9417"/>
    <cellStyle name="Currency 2 2 2 2 2 3 2" xfId="9418"/>
    <cellStyle name="Currency 2 2 2 2 2 3 2 2" xfId="9419"/>
    <cellStyle name="Currency 2 2 2 2 2 3 2 2 2" xfId="9420"/>
    <cellStyle name="Currency 2 2 2 2 2 3 2 2 3" xfId="9421"/>
    <cellStyle name="Currency 2 2 2 2 2 3 2 3" xfId="9422"/>
    <cellStyle name="Currency 2 2 2 2 2 3 2 3 2" xfId="9423"/>
    <cellStyle name="Currency 2 2 2 2 2 3 2 4" xfId="9424"/>
    <cellStyle name="Currency 2 2 2 2 2 3 3" xfId="9425"/>
    <cellStyle name="Currency 2 2 2 2 2 3 3 2" xfId="9426"/>
    <cellStyle name="Currency 2 2 2 2 2 3 3 2 2" xfId="9427"/>
    <cellStyle name="Currency 2 2 2 2 2 3 3 3" xfId="9428"/>
    <cellStyle name="Currency 2 2 2 2 2 3 4" xfId="9429"/>
    <cellStyle name="Currency 2 2 2 2 2 3 4 2" xfId="9430"/>
    <cellStyle name="Currency 2 2 2 2 2 3 4 3" xfId="9431"/>
    <cellStyle name="Currency 2 2 2 2 2 3 5" xfId="9432"/>
    <cellStyle name="Currency 2 2 2 2 2 3 5 2" xfId="9433"/>
    <cellStyle name="Currency 2 2 2 2 2 3 6" xfId="9434"/>
    <cellStyle name="Currency 2 2 2 2 2 3 6 2" xfId="36261"/>
    <cellStyle name="Currency 2 2 2 2 2 3 7" xfId="9435"/>
    <cellStyle name="Currency 2 2 2 2 2 4" xfId="9436"/>
    <cellStyle name="Currency 2 2 2 2 2 4 2" xfId="9437"/>
    <cellStyle name="Currency 2 2 2 2 2 4 2 2" xfId="9438"/>
    <cellStyle name="Currency 2 2 2 2 2 4 2 2 2" xfId="9439"/>
    <cellStyle name="Currency 2 2 2 2 2 4 2 3" xfId="9440"/>
    <cellStyle name="Currency 2 2 2 2 2 4 3" xfId="9441"/>
    <cellStyle name="Currency 2 2 2 2 2 4 3 2" xfId="9442"/>
    <cellStyle name="Currency 2 2 2 2 2 4 4" xfId="9443"/>
    <cellStyle name="Currency 2 2 2 2 2 5" xfId="9444"/>
    <cellStyle name="Currency 2 2 2 2 2 5 2" xfId="9445"/>
    <cellStyle name="Currency 2 2 2 2 2 5 2 2" xfId="9446"/>
    <cellStyle name="Currency 2 2 2 2 2 5 3" xfId="9447"/>
    <cellStyle name="Currency 2 2 2 2 2 6" xfId="9448"/>
    <cellStyle name="Currency 2 2 2 2 2 6 2" xfId="9449"/>
    <cellStyle name="Currency 2 2 2 2 2 6 2 2" xfId="9450"/>
    <cellStyle name="Currency 2 2 2 2 2 6 3" xfId="9451"/>
    <cellStyle name="Currency 2 2 2 2 2 7" xfId="9452"/>
    <cellStyle name="Currency 2 2 2 2 2 7 2" xfId="9453"/>
    <cellStyle name="Currency 2 2 2 2 2 8" xfId="9454"/>
    <cellStyle name="Currency 2 2 2 2 2 8 2" xfId="36262"/>
    <cellStyle name="Currency 2 2 2 2 2 9" xfId="9455"/>
    <cellStyle name="Currency 2 2 2 2 3" xfId="9456"/>
    <cellStyle name="Currency 2 2 2 2 3 2" xfId="9457"/>
    <cellStyle name="Currency 2 2 2 2 3 2 2" xfId="9458"/>
    <cellStyle name="Currency 2 2 2 2 3 2 2 2" xfId="9459"/>
    <cellStyle name="Currency 2 2 2 2 3 2 2 2 2" xfId="9460"/>
    <cellStyle name="Currency 2 2 2 2 3 2 2 2 3" xfId="9461"/>
    <cellStyle name="Currency 2 2 2 2 3 2 2 3" xfId="9462"/>
    <cellStyle name="Currency 2 2 2 2 3 2 2 3 2" xfId="9463"/>
    <cellStyle name="Currency 2 2 2 2 3 2 2 4" xfId="9464"/>
    <cellStyle name="Currency 2 2 2 2 3 2 3" xfId="9465"/>
    <cellStyle name="Currency 2 2 2 2 3 2 3 2" xfId="9466"/>
    <cellStyle name="Currency 2 2 2 2 3 2 3 2 2" xfId="9467"/>
    <cellStyle name="Currency 2 2 2 2 3 2 3 3" xfId="9468"/>
    <cellStyle name="Currency 2 2 2 2 3 2 4" xfId="9469"/>
    <cellStyle name="Currency 2 2 2 2 3 2 4 2" xfId="9470"/>
    <cellStyle name="Currency 2 2 2 2 3 2 4 3" xfId="9471"/>
    <cellStyle name="Currency 2 2 2 2 3 2 5" xfId="9472"/>
    <cellStyle name="Currency 2 2 2 2 3 2 5 2" xfId="9473"/>
    <cellStyle name="Currency 2 2 2 2 3 2 6" xfId="9474"/>
    <cellStyle name="Currency 2 2 2 2 3 2 6 2" xfId="36263"/>
    <cellStyle name="Currency 2 2 2 2 3 2 7" xfId="9475"/>
    <cellStyle name="Currency 2 2 2 2 3 3" xfId="9476"/>
    <cellStyle name="Currency 2 2 2 2 3 3 2" xfId="9477"/>
    <cellStyle name="Currency 2 2 2 2 3 3 2 2" xfId="9478"/>
    <cellStyle name="Currency 2 2 2 2 3 3 2 2 2" xfId="9479"/>
    <cellStyle name="Currency 2 2 2 2 3 3 2 3" xfId="9480"/>
    <cellStyle name="Currency 2 2 2 2 3 3 3" xfId="9481"/>
    <cellStyle name="Currency 2 2 2 2 3 3 3 2" xfId="9482"/>
    <cellStyle name="Currency 2 2 2 2 3 3 4" xfId="9483"/>
    <cellStyle name="Currency 2 2 2 2 3 4" xfId="9484"/>
    <cellStyle name="Currency 2 2 2 2 3 4 2" xfId="9485"/>
    <cellStyle name="Currency 2 2 2 2 3 4 2 2" xfId="9486"/>
    <cellStyle name="Currency 2 2 2 2 3 4 3" xfId="9487"/>
    <cellStyle name="Currency 2 2 2 2 3 5" xfId="9488"/>
    <cellStyle name="Currency 2 2 2 2 3 5 2" xfId="9489"/>
    <cellStyle name="Currency 2 2 2 2 3 5 2 2" xfId="9490"/>
    <cellStyle name="Currency 2 2 2 2 3 5 3" xfId="9491"/>
    <cellStyle name="Currency 2 2 2 2 3 6" xfId="9492"/>
    <cellStyle name="Currency 2 2 2 2 3 6 2" xfId="9493"/>
    <cellStyle name="Currency 2 2 2 2 3 7" xfId="9494"/>
    <cellStyle name="Currency 2 2 2 2 3 7 2" xfId="36264"/>
    <cellStyle name="Currency 2 2 2 2 3 8" xfId="9495"/>
    <cellStyle name="Currency 2 2 2 2 4" xfId="9496"/>
    <cellStyle name="Currency 2 2 2 2 4 2" xfId="9497"/>
    <cellStyle name="Currency 2 2 2 2 4 2 2" xfId="9498"/>
    <cellStyle name="Currency 2 2 2 2 4 2 2 2" xfId="9499"/>
    <cellStyle name="Currency 2 2 2 2 4 2 2 3" xfId="9500"/>
    <cellStyle name="Currency 2 2 2 2 4 2 3" xfId="9501"/>
    <cellStyle name="Currency 2 2 2 2 4 2 3 2" xfId="9502"/>
    <cellStyle name="Currency 2 2 2 2 4 2 4" xfId="9503"/>
    <cellStyle name="Currency 2 2 2 2 4 3" xfId="9504"/>
    <cellStyle name="Currency 2 2 2 2 4 3 2" xfId="9505"/>
    <cellStyle name="Currency 2 2 2 2 4 3 2 2" xfId="9506"/>
    <cellStyle name="Currency 2 2 2 2 4 3 3" xfId="9507"/>
    <cellStyle name="Currency 2 2 2 2 4 4" xfId="9508"/>
    <cellStyle name="Currency 2 2 2 2 4 4 2" xfId="9509"/>
    <cellStyle name="Currency 2 2 2 2 4 4 3" xfId="9510"/>
    <cellStyle name="Currency 2 2 2 2 4 5" xfId="9511"/>
    <cellStyle name="Currency 2 2 2 2 4 5 2" xfId="9512"/>
    <cellStyle name="Currency 2 2 2 2 4 6" xfId="9513"/>
    <cellStyle name="Currency 2 2 2 2 4 6 2" xfId="36265"/>
    <cellStyle name="Currency 2 2 2 2 4 7" xfId="9514"/>
    <cellStyle name="Currency 2 2 2 2 5" xfId="9515"/>
    <cellStyle name="Currency 2 2 2 2 5 2" xfId="9516"/>
    <cellStyle name="Currency 2 2 2 2 5 2 2" xfId="9517"/>
    <cellStyle name="Currency 2 2 2 2 5 2 2 2" xfId="9518"/>
    <cellStyle name="Currency 2 2 2 2 5 2 3" xfId="9519"/>
    <cellStyle name="Currency 2 2 2 2 5 3" xfId="9520"/>
    <cellStyle name="Currency 2 2 2 2 5 3 2" xfId="9521"/>
    <cellStyle name="Currency 2 2 2 2 5 4" xfId="9522"/>
    <cellStyle name="Currency 2 2 2 2 6" xfId="9523"/>
    <cellStyle name="Currency 2 2 2 2 6 2" xfId="9524"/>
    <cellStyle name="Currency 2 2 2 2 6 2 2" xfId="9525"/>
    <cellStyle name="Currency 2 2 2 2 6 3" xfId="9526"/>
    <cellStyle name="Currency 2 2 2 2 7" xfId="9527"/>
    <cellStyle name="Currency 2 2 2 2 7 2" xfId="9528"/>
    <cellStyle name="Currency 2 2 2 2 7 2 2" xfId="9529"/>
    <cellStyle name="Currency 2 2 2 2 7 3" xfId="9530"/>
    <cellStyle name="Currency 2 2 2 2 8" xfId="9531"/>
    <cellStyle name="Currency 2 2 2 2 8 2" xfId="9532"/>
    <cellStyle name="Currency 2 2 2 2 9" xfId="9533"/>
    <cellStyle name="Currency 2 2 2 2 9 2" xfId="36266"/>
    <cellStyle name="Currency 2 2 2 3" xfId="9534"/>
    <cellStyle name="Currency 2 2 2 3 2" xfId="9535"/>
    <cellStyle name="Currency 2 2 2 3 2 2" xfId="9536"/>
    <cellStyle name="Currency 2 2 2 3 2 2 2" xfId="9537"/>
    <cellStyle name="Currency 2 2 2 3 2 2 2 2" xfId="9538"/>
    <cellStyle name="Currency 2 2 2 3 2 2 2 2 2" xfId="9539"/>
    <cellStyle name="Currency 2 2 2 3 2 2 2 2 3" xfId="9540"/>
    <cellStyle name="Currency 2 2 2 3 2 2 2 3" xfId="9541"/>
    <cellStyle name="Currency 2 2 2 3 2 2 2 3 2" xfId="9542"/>
    <cellStyle name="Currency 2 2 2 3 2 2 2 4" xfId="9543"/>
    <cellStyle name="Currency 2 2 2 3 2 2 3" xfId="9544"/>
    <cellStyle name="Currency 2 2 2 3 2 2 3 2" xfId="9545"/>
    <cellStyle name="Currency 2 2 2 3 2 2 3 2 2" xfId="9546"/>
    <cellStyle name="Currency 2 2 2 3 2 2 3 3" xfId="9547"/>
    <cellStyle name="Currency 2 2 2 3 2 2 4" xfId="9548"/>
    <cellStyle name="Currency 2 2 2 3 2 2 4 2" xfId="9549"/>
    <cellStyle name="Currency 2 2 2 3 2 2 4 3" xfId="9550"/>
    <cellStyle name="Currency 2 2 2 3 2 2 5" xfId="9551"/>
    <cellStyle name="Currency 2 2 2 3 2 2 5 2" xfId="9552"/>
    <cellStyle name="Currency 2 2 2 3 2 2 6" xfId="9553"/>
    <cellStyle name="Currency 2 2 2 3 2 2 6 2" xfId="36267"/>
    <cellStyle name="Currency 2 2 2 3 2 2 7" xfId="9554"/>
    <cellStyle name="Currency 2 2 2 3 2 3" xfId="9555"/>
    <cellStyle name="Currency 2 2 2 3 2 3 2" xfId="9556"/>
    <cellStyle name="Currency 2 2 2 3 2 3 2 2" xfId="9557"/>
    <cellStyle name="Currency 2 2 2 3 2 3 2 2 2" xfId="9558"/>
    <cellStyle name="Currency 2 2 2 3 2 3 2 3" xfId="9559"/>
    <cellStyle name="Currency 2 2 2 3 2 3 3" xfId="9560"/>
    <cellStyle name="Currency 2 2 2 3 2 3 3 2" xfId="9561"/>
    <cellStyle name="Currency 2 2 2 3 2 3 4" xfId="9562"/>
    <cellStyle name="Currency 2 2 2 3 2 4" xfId="9563"/>
    <cellStyle name="Currency 2 2 2 3 2 4 2" xfId="9564"/>
    <cellStyle name="Currency 2 2 2 3 2 4 2 2" xfId="9565"/>
    <cellStyle name="Currency 2 2 2 3 2 4 3" xfId="9566"/>
    <cellStyle name="Currency 2 2 2 3 2 5" xfId="9567"/>
    <cellStyle name="Currency 2 2 2 3 2 5 2" xfId="9568"/>
    <cellStyle name="Currency 2 2 2 3 2 5 2 2" xfId="9569"/>
    <cellStyle name="Currency 2 2 2 3 2 5 3" xfId="9570"/>
    <cellStyle name="Currency 2 2 2 3 2 6" xfId="9571"/>
    <cellStyle name="Currency 2 2 2 3 2 6 2" xfId="9572"/>
    <cellStyle name="Currency 2 2 2 3 2 7" xfId="9573"/>
    <cellStyle name="Currency 2 2 2 3 2 7 2" xfId="36268"/>
    <cellStyle name="Currency 2 2 2 3 2 8" xfId="9574"/>
    <cellStyle name="Currency 2 2 2 3 3" xfId="9575"/>
    <cellStyle name="Currency 2 2 2 3 3 2" xfId="9576"/>
    <cellStyle name="Currency 2 2 2 3 3 2 2" xfId="9577"/>
    <cellStyle name="Currency 2 2 2 3 3 2 2 2" xfId="9578"/>
    <cellStyle name="Currency 2 2 2 3 3 2 2 3" xfId="9579"/>
    <cellStyle name="Currency 2 2 2 3 3 2 3" xfId="9580"/>
    <cellStyle name="Currency 2 2 2 3 3 2 3 2" xfId="9581"/>
    <cellStyle name="Currency 2 2 2 3 3 2 4" xfId="9582"/>
    <cellStyle name="Currency 2 2 2 3 3 3" xfId="9583"/>
    <cellStyle name="Currency 2 2 2 3 3 3 2" xfId="9584"/>
    <cellStyle name="Currency 2 2 2 3 3 3 2 2" xfId="9585"/>
    <cellStyle name="Currency 2 2 2 3 3 3 3" xfId="9586"/>
    <cellStyle name="Currency 2 2 2 3 3 4" xfId="9587"/>
    <cellStyle name="Currency 2 2 2 3 3 4 2" xfId="9588"/>
    <cellStyle name="Currency 2 2 2 3 3 4 3" xfId="9589"/>
    <cellStyle name="Currency 2 2 2 3 3 5" xfId="9590"/>
    <cellStyle name="Currency 2 2 2 3 3 5 2" xfId="9591"/>
    <cellStyle name="Currency 2 2 2 3 3 6" xfId="9592"/>
    <cellStyle name="Currency 2 2 2 3 3 6 2" xfId="36269"/>
    <cellStyle name="Currency 2 2 2 3 3 7" xfId="9593"/>
    <cellStyle name="Currency 2 2 2 3 4" xfId="9594"/>
    <cellStyle name="Currency 2 2 2 3 4 2" xfId="9595"/>
    <cellStyle name="Currency 2 2 2 3 4 2 2" xfId="9596"/>
    <cellStyle name="Currency 2 2 2 3 4 2 2 2" xfId="9597"/>
    <cellStyle name="Currency 2 2 2 3 4 2 3" xfId="9598"/>
    <cellStyle name="Currency 2 2 2 3 4 3" xfId="9599"/>
    <cellStyle name="Currency 2 2 2 3 4 3 2" xfId="9600"/>
    <cellStyle name="Currency 2 2 2 3 4 4" xfId="9601"/>
    <cellStyle name="Currency 2 2 2 3 5" xfId="9602"/>
    <cellStyle name="Currency 2 2 2 3 5 2" xfId="9603"/>
    <cellStyle name="Currency 2 2 2 3 5 2 2" xfId="9604"/>
    <cellStyle name="Currency 2 2 2 3 5 3" xfId="9605"/>
    <cellStyle name="Currency 2 2 2 3 6" xfId="9606"/>
    <cellStyle name="Currency 2 2 2 3 6 2" xfId="9607"/>
    <cellStyle name="Currency 2 2 2 3 6 2 2" xfId="9608"/>
    <cellStyle name="Currency 2 2 2 3 6 3" xfId="9609"/>
    <cellStyle name="Currency 2 2 2 3 7" xfId="9610"/>
    <cellStyle name="Currency 2 2 2 3 7 2" xfId="9611"/>
    <cellStyle name="Currency 2 2 2 3 8" xfId="9612"/>
    <cellStyle name="Currency 2 2 2 3 8 2" xfId="36270"/>
    <cellStyle name="Currency 2 2 2 3 9" xfId="9613"/>
    <cellStyle name="Currency 2 2 2 4" xfId="9614"/>
    <cellStyle name="Currency 2 2 2 4 2" xfId="9615"/>
    <cellStyle name="Currency 2 2 2 4 2 2" xfId="9616"/>
    <cellStyle name="Currency 2 2 2 4 2 2 2" xfId="9617"/>
    <cellStyle name="Currency 2 2 2 4 2 2 2 2" xfId="9618"/>
    <cellStyle name="Currency 2 2 2 4 2 2 2 2 2" xfId="9619"/>
    <cellStyle name="Currency 2 2 2 4 2 2 2 2 3" xfId="9620"/>
    <cellStyle name="Currency 2 2 2 4 2 2 2 3" xfId="9621"/>
    <cellStyle name="Currency 2 2 2 4 2 2 2 3 2" xfId="9622"/>
    <cellStyle name="Currency 2 2 2 4 2 2 2 4" xfId="9623"/>
    <cellStyle name="Currency 2 2 2 4 2 2 3" xfId="9624"/>
    <cellStyle name="Currency 2 2 2 4 2 2 3 2" xfId="9625"/>
    <cellStyle name="Currency 2 2 2 4 2 2 3 2 2" xfId="9626"/>
    <cellStyle name="Currency 2 2 2 4 2 2 3 3" xfId="9627"/>
    <cellStyle name="Currency 2 2 2 4 2 2 4" xfId="9628"/>
    <cellStyle name="Currency 2 2 2 4 2 2 4 2" xfId="9629"/>
    <cellStyle name="Currency 2 2 2 4 2 2 4 3" xfId="9630"/>
    <cellStyle name="Currency 2 2 2 4 2 2 5" xfId="9631"/>
    <cellStyle name="Currency 2 2 2 4 2 2 5 2" xfId="9632"/>
    <cellStyle name="Currency 2 2 2 4 2 2 6" xfId="9633"/>
    <cellStyle name="Currency 2 2 2 4 2 2 6 2" xfId="36271"/>
    <cellStyle name="Currency 2 2 2 4 2 2 7" xfId="9634"/>
    <cellStyle name="Currency 2 2 2 4 2 3" xfId="9635"/>
    <cellStyle name="Currency 2 2 2 4 2 3 2" xfId="9636"/>
    <cellStyle name="Currency 2 2 2 4 2 3 2 2" xfId="9637"/>
    <cellStyle name="Currency 2 2 2 4 2 3 2 2 2" xfId="9638"/>
    <cellStyle name="Currency 2 2 2 4 2 3 2 3" xfId="9639"/>
    <cellStyle name="Currency 2 2 2 4 2 3 3" xfId="9640"/>
    <cellStyle name="Currency 2 2 2 4 2 3 3 2" xfId="9641"/>
    <cellStyle name="Currency 2 2 2 4 2 3 4" xfId="9642"/>
    <cellStyle name="Currency 2 2 2 4 2 4" xfId="9643"/>
    <cellStyle name="Currency 2 2 2 4 2 4 2" xfId="9644"/>
    <cellStyle name="Currency 2 2 2 4 2 4 2 2" xfId="9645"/>
    <cellStyle name="Currency 2 2 2 4 2 4 3" xfId="9646"/>
    <cellStyle name="Currency 2 2 2 4 2 5" xfId="9647"/>
    <cellStyle name="Currency 2 2 2 4 2 5 2" xfId="9648"/>
    <cellStyle name="Currency 2 2 2 4 2 5 2 2" xfId="9649"/>
    <cellStyle name="Currency 2 2 2 4 2 5 3" xfId="9650"/>
    <cellStyle name="Currency 2 2 2 4 2 6" xfId="9651"/>
    <cellStyle name="Currency 2 2 2 4 2 6 2" xfId="9652"/>
    <cellStyle name="Currency 2 2 2 4 2 7" xfId="9653"/>
    <cellStyle name="Currency 2 2 2 4 2 7 2" xfId="36272"/>
    <cellStyle name="Currency 2 2 2 4 2 8" xfId="9654"/>
    <cellStyle name="Currency 2 2 2 4 3" xfId="9655"/>
    <cellStyle name="Currency 2 2 2 4 3 2" xfId="9656"/>
    <cellStyle name="Currency 2 2 2 4 3 2 2" xfId="9657"/>
    <cellStyle name="Currency 2 2 2 4 3 2 2 2" xfId="9658"/>
    <cellStyle name="Currency 2 2 2 4 3 2 2 3" xfId="9659"/>
    <cellStyle name="Currency 2 2 2 4 3 2 3" xfId="9660"/>
    <cellStyle name="Currency 2 2 2 4 3 2 3 2" xfId="9661"/>
    <cellStyle name="Currency 2 2 2 4 3 2 4" xfId="9662"/>
    <cellStyle name="Currency 2 2 2 4 3 3" xfId="9663"/>
    <cellStyle name="Currency 2 2 2 4 3 3 2" xfId="9664"/>
    <cellStyle name="Currency 2 2 2 4 3 3 2 2" xfId="9665"/>
    <cellStyle name="Currency 2 2 2 4 3 3 3" xfId="9666"/>
    <cellStyle name="Currency 2 2 2 4 3 4" xfId="9667"/>
    <cellStyle name="Currency 2 2 2 4 3 4 2" xfId="9668"/>
    <cellStyle name="Currency 2 2 2 4 3 4 3" xfId="9669"/>
    <cellStyle name="Currency 2 2 2 4 3 5" xfId="9670"/>
    <cellStyle name="Currency 2 2 2 4 3 5 2" xfId="9671"/>
    <cellStyle name="Currency 2 2 2 4 3 6" xfId="9672"/>
    <cellStyle name="Currency 2 2 2 4 3 6 2" xfId="36273"/>
    <cellStyle name="Currency 2 2 2 4 3 7" xfId="9673"/>
    <cellStyle name="Currency 2 2 2 4 4" xfId="9674"/>
    <cellStyle name="Currency 2 2 2 4 4 2" xfId="9675"/>
    <cellStyle name="Currency 2 2 2 4 4 2 2" xfId="9676"/>
    <cellStyle name="Currency 2 2 2 4 4 2 2 2" xfId="9677"/>
    <cellStyle name="Currency 2 2 2 4 4 2 3" xfId="9678"/>
    <cellStyle name="Currency 2 2 2 4 4 3" xfId="9679"/>
    <cellStyle name="Currency 2 2 2 4 4 3 2" xfId="9680"/>
    <cellStyle name="Currency 2 2 2 4 4 4" xfId="9681"/>
    <cellStyle name="Currency 2 2 2 4 5" xfId="9682"/>
    <cellStyle name="Currency 2 2 2 4 5 2" xfId="9683"/>
    <cellStyle name="Currency 2 2 2 4 5 2 2" xfId="9684"/>
    <cellStyle name="Currency 2 2 2 4 5 3" xfId="9685"/>
    <cellStyle name="Currency 2 2 2 4 6" xfId="9686"/>
    <cellStyle name="Currency 2 2 2 4 6 2" xfId="9687"/>
    <cellStyle name="Currency 2 2 2 4 6 2 2" xfId="9688"/>
    <cellStyle name="Currency 2 2 2 4 6 3" xfId="9689"/>
    <cellStyle name="Currency 2 2 2 4 7" xfId="9690"/>
    <cellStyle name="Currency 2 2 2 4 7 2" xfId="9691"/>
    <cellStyle name="Currency 2 2 2 4 8" xfId="9692"/>
    <cellStyle name="Currency 2 2 2 4 8 2" xfId="36274"/>
    <cellStyle name="Currency 2 2 2 4 9" xfId="9693"/>
    <cellStyle name="Currency 2 2 2 5" xfId="9694"/>
    <cellStyle name="Currency 2 2 2 5 2" xfId="9695"/>
    <cellStyle name="Currency 2 2 2 5 2 2" xfId="9696"/>
    <cellStyle name="Currency 2 2 2 5 2 2 2" xfId="9697"/>
    <cellStyle name="Currency 2 2 2 5 2 2 2 2" xfId="9698"/>
    <cellStyle name="Currency 2 2 2 5 2 2 2 3" xfId="9699"/>
    <cellStyle name="Currency 2 2 2 5 2 2 3" xfId="9700"/>
    <cellStyle name="Currency 2 2 2 5 2 2 3 2" xfId="9701"/>
    <cellStyle name="Currency 2 2 2 5 2 2 4" xfId="9702"/>
    <cellStyle name="Currency 2 2 2 5 2 3" xfId="9703"/>
    <cellStyle name="Currency 2 2 2 5 2 3 2" xfId="9704"/>
    <cellStyle name="Currency 2 2 2 5 2 3 2 2" xfId="9705"/>
    <cellStyle name="Currency 2 2 2 5 2 3 3" xfId="9706"/>
    <cellStyle name="Currency 2 2 2 5 2 4" xfId="9707"/>
    <cellStyle name="Currency 2 2 2 5 2 4 2" xfId="9708"/>
    <cellStyle name="Currency 2 2 2 5 2 4 3" xfId="9709"/>
    <cellStyle name="Currency 2 2 2 5 2 5" xfId="9710"/>
    <cellStyle name="Currency 2 2 2 5 2 5 2" xfId="9711"/>
    <cellStyle name="Currency 2 2 2 5 2 6" xfId="9712"/>
    <cellStyle name="Currency 2 2 2 5 2 6 2" xfId="36275"/>
    <cellStyle name="Currency 2 2 2 5 2 7" xfId="9713"/>
    <cellStyle name="Currency 2 2 2 5 3" xfId="9714"/>
    <cellStyle name="Currency 2 2 2 5 3 2" xfId="9715"/>
    <cellStyle name="Currency 2 2 2 5 3 2 2" xfId="9716"/>
    <cellStyle name="Currency 2 2 2 5 3 2 2 2" xfId="9717"/>
    <cellStyle name="Currency 2 2 2 5 3 2 3" xfId="9718"/>
    <cellStyle name="Currency 2 2 2 5 3 3" xfId="9719"/>
    <cellStyle name="Currency 2 2 2 5 3 3 2" xfId="9720"/>
    <cellStyle name="Currency 2 2 2 5 3 4" xfId="9721"/>
    <cellStyle name="Currency 2 2 2 5 4" xfId="9722"/>
    <cellStyle name="Currency 2 2 2 5 4 2" xfId="9723"/>
    <cellStyle name="Currency 2 2 2 5 4 2 2" xfId="9724"/>
    <cellStyle name="Currency 2 2 2 5 4 3" xfId="9725"/>
    <cellStyle name="Currency 2 2 2 5 5" xfId="9726"/>
    <cellStyle name="Currency 2 2 2 5 5 2" xfId="9727"/>
    <cellStyle name="Currency 2 2 2 5 5 2 2" xfId="9728"/>
    <cellStyle name="Currency 2 2 2 5 5 3" xfId="9729"/>
    <cellStyle name="Currency 2 2 2 5 6" xfId="9730"/>
    <cellStyle name="Currency 2 2 2 5 6 2" xfId="9731"/>
    <cellStyle name="Currency 2 2 2 5 7" xfId="9732"/>
    <cellStyle name="Currency 2 2 2 5 7 2" xfId="36276"/>
    <cellStyle name="Currency 2 2 2 5 8" xfId="9733"/>
    <cellStyle name="Currency 2 2 2 6" xfId="9734"/>
    <cellStyle name="Currency 2 2 2 6 2" xfId="9735"/>
    <cellStyle name="Currency 2 2 2 6 2 2" xfId="9736"/>
    <cellStyle name="Currency 2 2 2 6 2 2 2" xfId="9737"/>
    <cellStyle name="Currency 2 2 2 6 2 2 2 2" xfId="9738"/>
    <cellStyle name="Currency 2 2 2 6 2 2 2 3" xfId="9739"/>
    <cellStyle name="Currency 2 2 2 6 2 2 3" xfId="9740"/>
    <cellStyle name="Currency 2 2 2 6 2 2 3 2" xfId="9741"/>
    <cellStyle name="Currency 2 2 2 6 2 2 4" xfId="9742"/>
    <cellStyle name="Currency 2 2 2 6 2 3" xfId="9743"/>
    <cellStyle name="Currency 2 2 2 6 2 3 2" xfId="9744"/>
    <cellStyle name="Currency 2 2 2 6 2 3 2 2" xfId="9745"/>
    <cellStyle name="Currency 2 2 2 6 2 3 3" xfId="9746"/>
    <cellStyle name="Currency 2 2 2 6 2 4" xfId="9747"/>
    <cellStyle name="Currency 2 2 2 6 2 4 2" xfId="9748"/>
    <cellStyle name="Currency 2 2 2 6 2 4 3" xfId="9749"/>
    <cellStyle name="Currency 2 2 2 6 2 5" xfId="9750"/>
    <cellStyle name="Currency 2 2 2 6 2 5 2" xfId="9751"/>
    <cellStyle name="Currency 2 2 2 6 2 6" xfId="9752"/>
    <cellStyle name="Currency 2 2 2 6 2 6 2" xfId="36277"/>
    <cellStyle name="Currency 2 2 2 6 2 7" xfId="9753"/>
    <cellStyle name="Currency 2 2 2 6 3" xfId="9754"/>
    <cellStyle name="Currency 2 2 2 6 3 2" xfId="9755"/>
    <cellStyle name="Currency 2 2 2 6 3 2 2" xfId="9756"/>
    <cellStyle name="Currency 2 2 2 6 3 2 2 2" xfId="9757"/>
    <cellStyle name="Currency 2 2 2 6 3 2 3" xfId="9758"/>
    <cellStyle name="Currency 2 2 2 6 3 3" xfId="9759"/>
    <cellStyle name="Currency 2 2 2 6 3 3 2" xfId="9760"/>
    <cellStyle name="Currency 2 2 2 6 3 4" xfId="9761"/>
    <cellStyle name="Currency 2 2 2 6 4" xfId="9762"/>
    <cellStyle name="Currency 2 2 2 6 4 2" xfId="9763"/>
    <cellStyle name="Currency 2 2 2 6 4 2 2" xfId="9764"/>
    <cellStyle name="Currency 2 2 2 6 4 3" xfId="9765"/>
    <cellStyle name="Currency 2 2 2 6 5" xfId="9766"/>
    <cellStyle name="Currency 2 2 2 6 5 2" xfId="9767"/>
    <cellStyle name="Currency 2 2 2 6 5 2 2" xfId="9768"/>
    <cellStyle name="Currency 2 2 2 6 5 3" xfId="9769"/>
    <cellStyle name="Currency 2 2 2 6 6" xfId="9770"/>
    <cellStyle name="Currency 2 2 2 6 6 2" xfId="9771"/>
    <cellStyle name="Currency 2 2 2 6 7" xfId="9772"/>
    <cellStyle name="Currency 2 2 2 6 7 2" xfId="36278"/>
    <cellStyle name="Currency 2 2 2 6 8" xfId="9773"/>
    <cellStyle name="Currency 2 2 2 7" xfId="9774"/>
    <cellStyle name="Currency 2 2 2 7 2" xfId="9775"/>
    <cellStyle name="Currency 2 2 2 7 2 2" xfId="9776"/>
    <cellStyle name="Currency 2 2 2 7 2 2 2" xfId="9777"/>
    <cellStyle name="Currency 2 2 2 7 2 2 2 2" xfId="9778"/>
    <cellStyle name="Currency 2 2 2 7 2 2 2 3" xfId="9779"/>
    <cellStyle name="Currency 2 2 2 7 2 2 3" xfId="9780"/>
    <cellStyle name="Currency 2 2 2 7 2 2 3 2" xfId="9781"/>
    <cellStyle name="Currency 2 2 2 7 2 2 4" xfId="9782"/>
    <cellStyle name="Currency 2 2 2 7 2 3" xfId="9783"/>
    <cellStyle name="Currency 2 2 2 7 2 3 2" xfId="9784"/>
    <cellStyle name="Currency 2 2 2 7 2 3 2 2" xfId="9785"/>
    <cellStyle name="Currency 2 2 2 7 2 3 3" xfId="9786"/>
    <cellStyle name="Currency 2 2 2 7 2 4" xfId="9787"/>
    <cellStyle name="Currency 2 2 2 7 2 4 2" xfId="9788"/>
    <cellStyle name="Currency 2 2 2 7 2 4 3" xfId="9789"/>
    <cellStyle name="Currency 2 2 2 7 2 5" xfId="9790"/>
    <cellStyle name="Currency 2 2 2 7 2 5 2" xfId="9791"/>
    <cellStyle name="Currency 2 2 2 7 2 6" xfId="9792"/>
    <cellStyle name="Currency 2 2 2 7 2 6 2" xfId="36279"/>
    <cellStyle name="Currency 2 2 2 7 2 7" xfId="9793"/>
    <cellStyle name="Currency 2 2 2 7 3" xfId="9794"/>
    <cellStyle name="Currency 2 2 2 7 3 2" xfId="9795"/>
    <cellStyle name="Currency 2 2 2 7 3 2 2" xfId="9796"/>
    <cellStyle name="Currency 2 2 2 7 3 2 2 2" xfId="9797"/>
    <cellStyle name="Currency 2 2 2 7 3 2 3" xfId="9798"/>
    <cellStyle name="Currency 2 2 2 7 3 3" xfId="9799"/>
    <cellStyle name="Currency 2 2 2 7 3 3 2" xfId="9800"/>
    <cellStyle name="Currency 2 2 2 7 3 4" xfId="9801"/>
    <cellStyle name="Currency 2 2 2 7 4" xfId="9802"/>
    <cellStyle name="Currency 2 2 2 7 4 2" xfId="9803"/>
    <cellStyle name="Currency 2 2 2 7 4 2 2" xfId="9804"/>
    <cellStyle name="Currency 2 2 2 7 4 3" xfId="9805"/>
    <cellStyle name="Currency 2 2 2 7 5" xfId="9806"/>
    <cellStyle name="Currency 2 2 2 7 5 2" xfId="9807"/>
    <cellStyle name="Currency 2 2 2 7 5 2 2" xfId="9808"/>
    <cellStyle name="Currency 2 2 2 7 5 3" xfId="9809"/>
    <cellStyle name="Currency 2 2 2 7 6" xfId="9810"/>
    <cellStyle name="Currency 2 2 2 7 6 2" xfId="9811"/>
    <cellStyle name="Currency 2 2 2 7 7" xfId="9812"/>
    <cellStyle name="Currency 2 2 2 7 7 2" xfId="36280"/>
    <cellStyle name="Currency 2 2 2 7 8" xfId="9813"/>
    <cellStyle name="Currency 2 2 2 8" xfId="9814"/>
    <cellStyle name="Currency 2 2 2 8 2" xfId="9815"/>
    <cellStyle name="Currency 2 2 2 8 2 2" xfId="9816"/>
    <cellStyle name="Currency 2 2 2 8 2 2 2" xfId="9817"/>
    <cellStyle name="Currency 2 2 2 8 2 2 3" xfId="9818"/>
    <cellStyle name="Currency 2 2 2 8 2 3" xfId="9819"/>
    <cellStyle name="Currency 2 2 2 8 2 3 2" xfId="9820"/>
    <cellStyle name="Currency 2 2 2 8 2 4" xfId="9821"/>
    <cellStyle name="Currency 2 2 2 8 3" xfId="9822"/>
    <cellStyle name="Currency 2 2 2 8 3 2" xfId="9823"/>
    <cellStyle name="Currency 2 2 2 8 3 2 2" xfId="9824"/>
    <cellStyle name="Currency 2 2 2 8 3 3" xfId="9825"/>
    <cellStyle name="Currency 2 2 2 8 4" xfId="9826"/>
    <cellStyle name="Currency 2 2 2 8 4 2" xfId="9827"/>
    <cellStyle name="Currency 2 2 2 8 4 3" xfId="9828"/>
    <cellStyle name="Currency 2 2 2 8 5" xfId="9829"/>
    <cellStyle name="Currency 2 2 2 8 5 2" xfId="9830"/>
    <cellStyle name="Currency 2 2 2 8 6" xfId="9831"/>
    <cellStyle name="Currency 2 2 2 8 6 2" xfId="36281"/>
    <cellStyle name="Currency 2 2 2 8 7" xfId="9832"/>
    <cellStyle name="Currency 2 2 2 9" xfId="9833"/>
    <cellStyle name="Currency 2 2 2 9 2" xfId="9834"/>
    <cellStyle name="Currency 2 2 2 9 2 2" xfId="9835"/>
    <cellStyle name="Currency 2 2 2 9 2 2 2" xfId="9836"/>
    <cellStyle name="Currency 2 2 2 9 2 3" xfId="9837"/>
    <cellStyle name="Currency 2 2 2 9 3" xfId="9838"/>
    <cellStyle name="Currency 2 2 2 9 3 2" xfId="9839"/>
    <cellStyle name="Currency 2 2 2 9 4" xfId="9840"/>
    <cellStyle name="Currency 2 2 3" xfId="9841"/>
    <cellStyle name="Currency 2 2 3 10" xfId="9842"/>
    <cellStyle name="Currency 2 2 3 10 2" xfId="9843"/>
    <cellStyle name="Currency 2 2 3 10 2 2" xfId="9844"/>
    <cellStyle name="Currency 2 2 3 10 3" xfId="9845"/>
    <cellStyle name="Currency 2 2 3 11" xfId="9846"/>
    <cellStyle name="Currency 2 2 3 11 2" xfId="9847"/>
    <cellStyle name="Currency 2 2 3 11 2 2" xfId="9848"/>
    <cellStyle name="Currency 2 2 3 11 3" xfId="9849"/>
    <cellStyle name="Currency 2 2 3 12" xfId="9850"/>
    <cellStyle name="Currency 2 2 3 12 2" xfId="9851"/>
    <cellStyle name="Currency 2 2 3 13" xfId="9852"/>
    <cellStyle name="Currency 2 2 3 13 2" xfId="36282"/>
    <cellStyle name="Currency 2 2 3 14" xfId="9853"/>
    <cellStyle name="Currency 2 2 3 2" xfId="9854"/>
    <cellStyle name="Currency 2 2 3 2 10" xfId="9855"/>
    <cellStyle name="Currency 2 2 3 2 2" xfId="9856"/>
    <cellStyle name="Currency 2 2 3 2 2 2" xfId="9857"/>
    <cellStyle name="Currency 2 2 3 2 2 2 2" xfId="9858"/>
    <cellStyle name="Currency 2 2 3 2 2 2 2 2" xfId="9859"/>
    <cellStyle name="Currency 2 2 3 2 2 2 2 2 2" xfId="9860"/>
    <cellStyle name="Currency 2 2 3 2 2 2 2 2 2 2" xfId="9861"/>
    <cellStyle name="Currency 2 2 3 2 2 2 2 2 2 3" xfId="9862"/>
    <cellStyle name="Currency 2 2 3 2 2 2 2 2 3" xfId="9863"/>
    <cellStyle name="Currency 2 2 3 2 2 2 2 2 3 2" xfId="9864"/>
    <cellStyle name="Currency 2 2 3 2 2 2 2 2 4" xfId="9865"/>
    <cellStyle name="Currency 2 2 3 2 2 2 2 3" xfId="9866"/>
    <cellStyle name="Currency 2 2 3 2 2 2 2 3 2" xfId="9867"/>
    <cellStyle name="Currency 2 2 3 2 2 2 2 3 2 2" xfId="9868"/>
    <cellStyle name="Currency 2 2 3 2 2 2 2 3 3" xfId="9869"/>
    <cellStyle name="Currency 2 2 3 2 2 2 2 4" xfId="9870"/>
    <cellStyle name="Currency 2 2 3 2 2 2 2 4 2" xfId="9871"/>
    <cellStyle name="Currency 2 2 3 2 2 2 2 4 3" xfId="9872"/>
    <cellStyle name="Currency 2 2 3 2 2 2 2 5" xfId="9873"/>
    <cellStyle name="Currency 2 2 3 2 2 2 2 5 2" xfId="9874"/>
    <cellStyle name="Currency 2 2 3 2 2 2 2 6" xfId="9875"/>
    <cellStyle name="Currency 2 2 3 2 2 2 2 6 2" xfId="36283"/>
    <cellStyle name="Currency 2 2 3 2 2 2 2 7" xfId="9876"/>
    <cellStyle name="Currency 2 2 3 2 2 2 3" xfId="9877"/>
    <cellStyle name="Currency 2 2 3 2 2 2 3 2" xfId="9878"/>
    <cellStyle name="Currency 2 2 3 2 2 2 3 2 2" xfId="9879"/>
    <cellStyle name="Currency 2 2 3 2 2 2 3 2 2 2" xfId="9880"/>
    <cellStyle name="Currency 2 2 3 2 2 2 3 2 3" xfId="9881"/>
    <cellStyle name="Currency 2 2 3 2 2 2 3 3" xfId="9882"/>
    <cellStyle name="Currency 2 2 3 2 2 2 3 3 2" xfId="9883"/>
    <cellStyle name="Currency 2 2 3 2 2 2 3 4" xfId="9884"/>
    <cellStyle name="Currency 2 2 3 2 2 2 4" xfId="9885"/>
    <cellStyle name="Currency 2 2 3 2 2 2 4 2" xfId="9886"/>
    <cellStyle name="Currency 2 2 3 2 2 2 4 2 2" xfId="9887"/>
    <cellStyle name="Currency 2 2 3 2 2 2 4 3" xfId="9888"/>
    <cellStyle name="Currency 2 2 3 2 2 2 5" xfId="9889"/>
    <cellStyle name="Currency 2 2 3 2 2 2 5 2" xfId="9890"/>
    <cellStyle name="Currency 2 2 3 2 2 2 5 2 2" xfId="9891"/>
    <cellStyle name="Currency 2 2 3 2 2 2 5 3" xfId="9892"/>
    <cellStyle name="Currency 2 2 3 2 2 2 6" xfId="9893"/>
    <cellStyle name="Currency 2 2 3 2 2 2 6 2" xfId="9894"/>
    <cellStyle name="Currency 2 2 3 2 2 2 7" xfId="9895"/>
    <cellStyle name="Currency 2 2 3 2 2 2 7 2" xfId="36284"/>
    <cellStyle name="Currency 2 2 3 2 2 2 8" xfId="9896"/>
    <cellStyle name="Currency 2 2 3 2 2 3" xfId="9897"/>
    <cellStyle name="Currency 2 2 3 2 2 3 2" xfId="9898"/>
    <cellStyle name="Currency 2 2 3 2 2 3 2 2" xfId="9899"/>
    <cellStyle name="Currency 2 2 3 2 2 3 2 2 2" xfId="9900"/>
    <cellStyle name="Currency 2 2 3 2 2 3 2 2 3" xfId="9901"/>
    <cellStyle name="Currency 2 2 3 2 2 3 2 3" xfId="9902"/>
    <cellStyle name="Currency 2 2 3 2 2 3 2 3 2" xfId="9903"/>
    <cellStyle name="Currency 2 2 3 2 2 3 2 4" xfId="9904"/>
    <cellStyle name="Currency 2 2 3 2 2 3 3" xfId="9905"/>
    <cellStyle name="Currency 2 2 3 2 2 3 3 2" xfId="9906"/>
    <cellStyle name="Currency 2 2 3 2 2 3 3 2 2" xfId="9907"/>
    <cellStyle name="Currency 2 2 3 2 2 3 3 3" xfId="9908"/>
    <cellStyle name="Currency 2 2 3 2 2 3 4" xfId="9909"/>
    <cellStyle name="Currency 2 2 3 2 2 3 4 2" xfId="9910"/>
    <cellStyle name="Currency 2 2 3 2 2 3 4 3" xfId="9911"/>
    <cellStyle name="Currency 2 2 3 2 2 3 5" xfId="9912"/>
    <cellStyle name="Currency 2 2 3 2 2 3 5 2" xfId="9913"/>
    <cellStyle name="Currency 2 2 3 2 2 3 6" xfId="9914"/>
    <cellStyle name="Currency 2 2 3 2 2 3 6 2" xfId="36285"/>
    <cellStyle name="Currency 2 2 3 2 2 3 7" xfId="9915"/>
    <cellStyle name="Currency 2 2 3 2 2 4" xfId="9916"/>
    <cellStyle name="Currency 2 2 3 2 2 4 2" xfId="9917"/>
    <cellStyle name="Currency 2 2 3 2 2 4 2 2" xfId="9918"/>
    <cellStyle name="Currency 2 2 3 2 2 4 2 2 2" xfId="9919"/>
    <cellStyle name="Currency 2 2 3 2 2 4 2 3" xfId="9920"/>
    <cellStyle name="Currency 2 2 3 2 2 4 3" xfId="9921"/>
    <cellStyle name="Currency 2 2 3 2 2 4 3 2" xfId="9922"/>
    <cellStyle name="Currency 2 2 3 2 2 4 4" xfId="9923"/>
    <cellStyle name="Currency 2 2 3 2 2 5" xfId="9924"/>
    <cellStyle name="Currency 2 2 3 2 2 5 2" xfId="9925"/>
    <cellStyle name="Currency 2 2 3 2 2 5 2 2" xfId="9926"/>
    <cellStyle name="Currency 2 2 3 2 2 5 3" xfId="9927"/>
    <cellStyle name="Currency 2 2 3 2 2 6" xfId="9928"/>
    <cellStyle name="Currency 2 2 3 2 2 6 2" xfId="9929"/>
    <cellStyle name="Currency 2 2 3 2 2 6 2 2" xfId="9930"/>
    <cellStyle name="Currency 2 2 3 2 2 6 3" xfId="9931"/>
    <cellStyle name="Currency 2 2 3 2 2 7" xfId="9932"/>
    <cellStyle name="Currency 2 2 3 2 2 7 2" xfId="9933"/>
    <cellStyle name="Currency 2 2 3 2 2 8" xfId="9934"/>
    <cellStyle name="Currency 2 2 3 2 2 8 2" xfId="36286"/>
    <cellStyle name="Currency 2 2 3 2 2 9" xfId="9935"/>
    <cellStyle name="Currency 2 2 3 2 3" xfId="9936"/>
    <cellStyle name="Currency 2 2 3 2 3 2" xfId="9937"/>
    <cellStyle name="Currency 2 2 3 2 3 2 2" xfId="9938"/>
    <cellStyle name="Currency 2 2 3 2 3 2 2 2" xfId="9939"/>
    <cellStyle name="Currency 2 2 3 2 3 2 2 2 2" xfId="9940"/>
    <cellStyle name="Currency 2 2 3 2 3 2 2 2 3" xfId="9941"/>
    <cellStyle name="Currency 2 2 3 2 3 2 2 3" xfId="9942"/>
    <cellStyle name="Currency 2 2 3 2 3 2 2 3 2" xfId="9943"/>
    <cellStyle name="Currency 2 2 3 2 3 2 2 4" xfId="9944"/>
    <cellStyle name="Currency 2 2 3 2 3 2 3" xfId="9945"/>
    <cellStyle name="Currency 2 2 3 2 3 2 3 2" xfId="9946"/>
    <cellStyle name="Currency 2 2 3 2 3 2 3 2 2" xfId="9947"/>
    <cellStyle name="Currency 2 2 3 2 3 2 3 3" xfId="9948"/>
    <cellStyle name="Currency 2 2 3 2 3 2 4" xfId="9949"/>
    <cellStyle name="Currency 2 2 3 2 3 2 4 2" xfId="9950"/>
    <cellStyle name="Currency 2 2 3 2 3 2 4 3" xfId="9951"/>
    <cellStyle name="Currency 2 2 3 2 3 2 5" xfId="9952"/>
    <cellStyle name="Currency 2 2 3 2 3 2 5 2" xfId="9953"/>
    <cellStyle name="Currency 2 2 3 2 3 2 6" xfId="9954"/>
    <cellStyle name="Currency 2 2 3 2 3 2 6 2" xfId="36287"/>
    <cellStyle name="Currency 2 2 3 2 3 2 7" xfId="9955"/>
    <cellStyle name="Currency 2 2 3 2 3 3" xfId="9956"/>
    <cellStyle name="Currency 2 2 3 2 3 3 2" xfId="9957"/>
    <cellStyle name="Currency 2 2 3 2 3 3 2 2" xfId="9958"/>
    <cellStyle name="Currency 2 2 3 2 3 3 2 2 2" xfId="9959"/>
    <cellStyle name="Currency 2 2 3 2 3 3 2 3" xfId="9960"/>
    <cellStyle name="Currency 2 2 3 2 3 3 3" xfId="9961"/>
    <cellStyle name="Currency 2 2 3 2 3 3 3 2" xfId="9962"/>
    <cellStyle name="Currency 2 2 3 2 3 3 4" xfId="9963"/>
    <cellStyle name="Currency 2 2 3 2 3 4" xfId="9964"/>
    <cellStyle name="Currency 2 2 3 2 3 4 2" xfId="9965"/>
    <cellStyle name="Currency 2 2 3 2 3 4 2 2" xfId="9966"/>
    <cellStyle name="Currency 2 2 3 2 3 4 3" xfId="9967"/>
    <cellStyle name="Currency 2 2 3 2 3 5" xfId="9968"/>
    <cellStyle name="Currency 2 2 3 2 3 5 2" xfId="9969"/>
    <cellStyle name="Currency 2 2 3 2 3 5 2 2" xfId="9970"/>
    <cellStyle name="Currency 2 2 3 2 3 5 3" xfId="9971"/>
    <cellStyle name="Currency 2 2 3 2 3 6" xfId="9972"/>
    <cellStyle name="Currency 2 2 3 2 3 6 2" xfId="9973"/>
    <cellStyle name="Currency 2 2 3 2 3 7" xfId="9974"/>
    <cellStyle name="Currency 2 2 3 2 3 7 2" xfId="36288"/>
    <cellStyle name="Currency 2 2 3 2 3 8" xfId="9975"/>
    <cellStyle name="Currency 2 2 3 2 4" xfId="9976"/>
    <cellStyle name="Currency 2 2 3 2 4 2" xfId="9977"/>
    <cellStyle name="Currency 2 2 3 2 4 2 2" xfId="9978"/>
    <cellStyle name="Currency 2 2 3 2 4 2 2 2" xfId="9979"/>
    <cellStyle name="Currency 2 2 3 2 4 2 2 3" xfId="9980"/>
    <cellStyle name="Currency 2 2 3 2 4 2 3" xfId="9981"/>
    <cellStyle name="Currency 2 2 3 2 4 2 3 2" xfId="9982"/>
    <cellStyle name="Currency 2 2 3 2 4 2 4" xfId="9983"/>
    <cellStyle name="Currency 2 2 3 2 4 3" xfId="9984"/>
    <cellStyle name="Currency 2 2 3 2 4 3 2" xfId="9985"/>
    <cellStyle name="Currency 2 2 3 2 4 3 2 2" xfId="9986"/>
    <cellStyle name="Currency 2 2 3 2 4 3 3" xfId="9987"/>
    <cellStyle name="Currency 2 2 3 2 4 4" xfId="9988"/>
    <cellStyle name="Currency 2 2 3 2 4 4 2" xfId="9989"/>
    <cellStyle name="Currency 2 2 3 2 4 4 3" xfId="9990"/>
    <cellStyle name="Currency 2 2 3 2 4 5" xfId="9991"/>
    <cellStyle name="Currency 2 2 3 2 4 5 2" xfId="9992"/>
    <cellStyle name="Currency 2 2 3 2 4 6" xfId="9993"/>
    <cellStyle name="Currency 2 2 3 2 4 6 2" xfId="36289"/>
    <cellStyle name="Currency 2 2 3 2 4 7" xfId="9994"/>
    <cellStyle name="Currency 2 2 3 2 5" xfId="9995"/>
    <cellStyle name="Currency 2 2 3 2 5 2" xfId="9996"/>
    <cellStyle name="Currency 2 2 3 2 5 2 2" xfId="9997"/>
    <cellStyle name="Currency 2 2 3 2 5 2 2 2" xfId="9998"/>
    <cellStyle name="Currency 2 2 3 2 5 2 3" xfId="9999"/>
    <cellStyle name="Currency 2 2 3 2 5 3" xfId="10000"/>
    <cellStyle name="Currency 2 2 3 2 5 3 2" xfId="10001"/>
    <cellStyle name="Currency 2 2 3 2 5 4" xfId="10002"/>
    <cellStyle name="Currency 2 2 3 2 6" xfId="10003"/>
    <cellStyle name="Currency 2 2 3 2 6 2" xfId="10004"/>
    <cellStyle name="Currency 2 2 3 2 6 2 2" xfId="10005"/>
    <cellStyle name="Currency 2 2 3 2 6 3" xfId="10006"/>
    <cellStyle name="Currency 2 2 3 2 7" xfId="10007"/>
    <cellStyle name="Currency 2 2 3 2 7 2" xfId="10008"/>
    <cellStyle name="Currency 2 2 3 2 7 2 2" xfId="10009"/>
    <cellStyle name="Currency 2 2 3 2 7 3" xfId="10010"/>
    <cellStyle name="Currency 2 2 3 2 8" xfId="10011"/>
    <cellStyle name="Currency 2 2 3 2 8 2" xfId="10012"/>
    <cellStyle name="Currency 2 2 3 2 9" xfId="10013"/>
    <cellStyle name="Currency 2 2 3 2 9 2" xfId="36290"/>
    <cellStyle name="Currency 2 2 3 3" xfId="10014"/>
    <cellStyle name="Currency 2 2 3 3 2" xfId="10015"/>
    <cellStyle name="Currency 2 2 3 3 2 2" xfId="10016"/>
    <cellStyle name="Currency 2 2 3 3 2 2 2" xfId="10017"/>
    <cellStyle name="Currency 2 2 3 3 2 2 2 2" xfId="10018"/>
    <cellStyle name="Currency 2 2 3 3 2 2 2 2 2" xfId="10019"/>
    <cellStyle name="Currency 2 2 3 3 2 2 2 2 3" xfId="10020"/>
    <cellStyle name="Currency 2 2 3 3 2 2 2 3" xfId="10021"/>
    <cellStyle name="Currency 2 2 3 3 2 2 2 3 2" xfId="10022"/>
    <cellStyle name="Currency 2 2 3 3 2 2 2 4" xfId="10023"/>
    <cellStyle name="Currency 2 2 3 3 2 2 3" xfId="10024"/>
    <cellStyle name="Currency 2 2 3 3 2 2 3 2" xfId="10025"/>
    <cellStyle name="Currency 2 2 3 3 2 2 3 2 2" xfId="10026"/>
    <cellStyle name="Currency 2 2 3 3 2 2 3 3" xfId="10027"/>
    <cellStyle name="Currency 2 2 3 3 2 2 4" xfId="10028"/>
    <cellStyle name="Currency 2 2 3 3 2 2 4 2" xfId="10029"/>
    <cellStyle name="Currency 2 2 3 3 2 2 4 3" xfId="10030"/>
    <cellStyle name="Currency 2 2 3 3 2 2 5" xfId="10031"/>
    <cellStyle name="Currency 2 2 3 3 2 2 5 2" xfId="10032"/>
    <cellStyle name="Currency 2 2 3 3 2 2 6" xfId="10033"/>
    <cellStyle name="Currency 2 2 3 3 2 2 6 2" xfId="36291"/>
    <cellStyle name="Currency 2 2 3 3 2 2 7" xfId="10034"/>
    <cellStyle name="Currency 2 2 3 3 2 3" xfId="10035"/>
    <cellStyle name="Currency 2 2 3 3 2 3 2" xfId="10036"/>
    <cellStyle name="Currency 2 2 3 3 2 3 2 2" xfId="10037"/>
    <cellStyle name="Currency 2 2 3 3 2 3 2 2 2" xfId="10038"/>
    <cellStyle name="Currency 2 2 3 3 2 3 2 3" xfId="10039"/>
    <cellStyle name="Currency 2 2 3 3 2 3 3" xfId="10040"/>
    <cellStyle name="Currency 2 2 3 3 2 3 3 2" xfId="10041"/>
    <cellStyle name="Currency 2 2 3 3 2 3 4" xfId="10042"/>
    <cellStyle name="Currency 2 2 3 3 2 4" xfId="10043"/>
    <cellStyle name="Currency 2 2 3 3 2 4 2" xfId="10044"/>
    <cellStyle name="Currency 2 2 3 3 2 4 2 2" xfId="10045"/>
    <cellStyle name="Currency 2 2 3 3 2 4 3" xfId="10046"/>
    <cellStyle name="Currency 2 2 3 3 2 5" xfId="10047"/>
    <cellStyle name="Currency 2 2 3 3 2 5 2" xfId="10048"/>
    <cellStyle name="Currency 2 2 3 3 2 5 2 2" xfId="10049"/>
    <cellStyle name="Currency 2 2 3 3 2 5 3" xfId="10050"/>
    <cellStyle name="Currency 2 2 3 3 2 6" xfId="10051"/>
    <cellStyle name="Currency 2 2 3 3 2 6 2" xfId="10052"/>
    <cellStyle name="Currency 2 2 3 3 2 7" xfId="10053"/>
    <cellStyle name="Currency 2 2 3 3 2 7 2" xfId="36292"/>
    <cellStyle name="Currency 2 2 3 3 2 8" xfId="10054"/>
    <cellStyle name="Currency 2 2 3 3 3" xfId="10055"/>
    <cellStyle name="Currency 2 2 3 3 3 2" xfId="10056"/>
    <cellStyle name="Currency 2 2 3 3 3 2 2" xfId="10057"/>
    <cellStyle name="Currency 2 2 3 3 3 2 2 2" xfId="10058"/>
    <cellStyle name="Currency 2 2 3 3 3 2 2 3" xfId="10059"/>
    <cellStyle name="Currency 2 2 3 3 3 2 3" xfId="10060"/>
    <cellStyle name="Currency 2 2 3 3 3 2 3 2" xfId="10061"/>
    <cellStyle name="Currency 2 2 3 3 3 2 4" xfId="10062"/>
    <cellStyle name="Currency 2 2 3 3 3 3" xfId="10063"/>
    <cellStyle name="Currency 2 2 3 3 3 3 2" xfId="10064"/>
    <cellStyle name="Currency 2 2 3 3 3 3 2 2" xfId="10065"/>
    <cellStyle name="Currency 2 2 3 3 3 3 3" xfId="10066"/>
    <cellStyle name="Currency 2 2 3 3 3 4" xfId="10067"/>
    <cellStyle name="Currency 2 2 3 3 3 4 2" xfId="10068"/>
    <cellStyle name="Currency 2 2 3 3 3 4 3" xfId="10069"/>
    <cellStyle name="Currency 2 2 3 3 3 5" xfId="10070"/>
    <cellStyle name="Currency 2 2 3 3 3 5 2" xfId="10071"/>
    <cellStyle name="Currency 2 2 3 3 3 6" xfId="10072"/>
    <cellStyle name="Currency 2 2 3 3 3 6 2" xfId="36293"/>
    <cellStyle name="Currency 2 2 3 3 3 7" xfId="10073"/>
    <cellStyle name="Currency 2 2 3 3 4" xfId="10074"/>
    <cellStyle name="Currency 2 2 3 3 4 2" xfId="10075"/>
    <cellStyle name="Currency 2 2 3 3 4 2 2" xfId="10076"/>
    <cellStyle name="Currency 2 2 3 3 4 2 2 2" xfId="10077"/>
    <cellStyle name="Currency 2 2 3 3 4 2 3" xfId="10078"/>
    <cellStyle name="Currency 2 2 3 3 4 3" xfId="10079"/>
    <cellStyle name="Currency 2 2 3 3 4 3 2" xfId="10080"/>
    <cellStyle name="Currency 2 2 3 3 4 4" xfId="10081"/>
    <cellStyle name="Currency 2 2 3 3 5" xfId="10082"/>
    <cellStyle name="Currency 2 2 3 3 5 2" xfId="10083"/>
    <cellStyle name="Currency 2 2 3 3 5 2 2" xfId="10084"/>
    <cellStyle name="Currency 2 2 3 3 5 3" xfId="10085"/>
    <cellStyle name="Currency 2 2 3 3 6" xfId="10086"/>
    <cellStyle name="Currency 2 2 3 3 6 2" xfId="10087"/>
    <cellStyle name="Currency 2 2 3 3 6 2 2" xfId="10088"/>
    <cellStyle name="Currency 2 2 3 3 6 3" xfId="10089"/>
    <cellStyle name="Currency 2 2 3 3 7" xfId="10090"/>
    <cellStyle name="Currency 2 2 3 3 7 2" xfId="10091"/>
    <cellStyle name="Currency 2 2 3 3 8" xfId="10092"/>
    <cellStyle name="Currency 2 2 3 3 8 2" xfId="36294"/>
    <cellStyle name="Currency 2 2 3 3 9" xfId="10093"/>
    <cellStyle name="Currency 2 2 3 4" xfId="10094"/>
    <cellStyle name="Currency 2 2 3 4 2" xfId="10095"/>
    <cellStyle name="Currency 2 2 3 4 2 2" xfId="10096"/>
    <cellStyle name="Currency 2 2 3 4 2 2 2" xfId="10097"/>
    <cellStyle name="Currency 2 2 3 4 2 2 2 2" xfId="10098"/>
    <cellStyle name="Currency 2 2 3 4 2 2 2 2 2" xfId="10099"/>
    <cellStyle name="Currency 2 2 3 4 2 2 2 2 3" xfId="10100"/>
    <cellStyle name="Currency 2 2 3 4 2 2 2 3" xfId="10101"/>
    <cellStyle name="Currency 2 2 3 4 2 2 2 3 2" xfId="10102"/>
    <cellStyle name="Currency 2 2 3 4 2 2 2 4" xfId="10103"/>
    <cellStyle name="Currency 2 2 3 4 2 2 3" xfId="10104"/>
    <cellStyle name="Currency 2 2 3 4 2 2 3 2" xfId="10105"/>
    <cellStyle name="Currency 2 2 3 4 2 2 3 2 2" xfId="10106"/>
    <cellStyle name="Currency 2 2 3 4 2 2 3 3" xfId="10107"/>
    <cellStyle name="Currency 2 2 3 4 2 2 4" xfId="10108"/>
    <cellStyle name="Currency 2 2 3 4 2 2 4 2" xfId="10109"/>
    <cellStyle name="Currency 2 2 3 4 2 2 4 3" xfId="10110"/>
    <cellStyle name="Currency 2 2 3 4 2 2 5" xfId="10111"/>
    <cellStyle name="Currency 2 2 3 4 2 2 5 2" xfId="10112"/>
    <cellStyle name="Currency 2 2 3 4 2 2 6" xfId="10113"/>
    <cellStyle name="Currency 2 2 3 4 2 2 6 2" xfId="36295"/>
    <cellStyle name="Currency 2 2 3 4 2 2 7" xfId="10114"/>
    <cellStyle name="Currency 2 2 3 4 2 3" xfId="10115"/>
    <cellStyle name="Currency 2 2 3 4 2 3 2" xfId="10116"/>
    <cellStyle name="Currency 2 2 3 4 2 3 2 2" xfId="10117"/>
    <cellStyle name="Currency 2 2 3 4 2 3 2 2 2" xfId="10118"/>
    <cellStyle name="Currency 2 2 3 4 2 3 2 3" xfId="10119"/>
    <cellStyle name="Currency 2 2 3 4 2 3 3" xfId="10120"/>
    <cellStyle name="Currency 2 2 3 4 2 3 3 2" xfId="10121"/>
    <cellStyle name="Currency 2 2 3 4 2 3 4" xfId="10122"/>
    <cellStyle name="Currency 2 2 3 4 2 4" xfId="10123"/>
    <cellStyle name="Currency 2 2 3 4 2 4 2" xfId="10124"/>
    <cellStyle name="Currency 2 2 3 4 2 4 2 2" xfId="10125"/>
    <cellStyle name="Currency 2 2 3 4 2 4 3" xfId="10126"/>
    <cellStyle name="Currency 2 2 3 4 2 5" xfId="10127"/>
    <cellStyle name="Currency 2 2 3 4 2 5 2" xfId="10128"/>
    <cellStyle name="Currency 2 2 3 4 2 5 2 2" xfId="10129"/>
    <cellStyle name="Currency 2 2 3 4 2 5 3" xfId="10130"/>
    <cellStyle name="Currency 2 2 3 4 2 6" xfId="10131"/>
    <cellStyle name="Currency 2 2 3 4 2 6 2" xfId="10132"/>
    <cellStyle name="Currency 2 2 3 4 2 7" xfId="10133"/>
    <cellStyle name="Currency 2 2 3 4 2 7 2" xfId="36296"/>
    <cellStyle name="Currency 2 2 3 4 2 8" xfId="10134"/>
    <cellStyle name="Currency 2 2 3 4 3" xfId="10135"/>
    <cellStyle name="Currency 2 2 3 4 3 2" xfId="10136"/>
    <cellStyle name="Currency 2 2 3 4 3 2 2" xfId="10137"/>
    <cellStyle name="Currency 2 2 3 4 3 2 2 2" xfId="10138"/>
    <cellStyle name="Currency 2 2 3 4 3 2 2 3" xfId="10139"/>
    <cellStyle name="Currency 2 2 3 4 3 2 3" xfId="10140"/>
    <cellStyle name="Currency 2 2 3 4 3 2 3 2" xfId="10141"/>
    <cellStyle name="Currency 2 2 3 4 3 2 4" xfId="10142"/>
    <cellStyle name="Currency 2 2 3 4 3 3" xfId="10143"/>
    <cellStyle name="Currency 2 2 3 4 3 3 2" xfId="10144"/>
    <cellStyle name="Currency 2 2 3 4 3 3 2 2" xfId="10145"/>
    <cellStyle name="Currency 2 2 3 4 3 3 3" xfId="10146"/>
    <cellStyle name="Currency 2 2 3 4 3 4" xfId="10147"/>
    <cellStyle name="Currency 2 2 3 4 3 4 2" xfId="10148"/>
    <cellStyle name="Currency 2 2 3 4 3 4 3" xfId="10149"/>
    <cellStyle name="Currency 2 2 3 4 3 5" xfId="10150"/>
    <cellStyle name="Currency 2 2 3 4 3 5 2" xfId="10151"/>
    <cellStyle name="Currency 2 2 3 4 3 6" xfId="10152"/>
    <cellStyle name="Currency 2 2 3 4 3 6 2" xfId="36297"/>
    <cellStyle name="Currency 2 2 3 4 3 7" xfId="10153"/>
    <cellStyle name="Currency 2 2 3 4 4" xfId="10154"/>
    <cellStyle name="Currency 2 2 3 4 4 2" xfId="10155"/>
    <cellStyle name="Currency 2 2 3 4 4 2 2" xfId="10156"/>
    <cellStyle name="Currency 2 2 3 4 4 2 2 2" xfId="10157"/>
    <cellStyle name="Currency 2 2 3 4 4 2 3" xfId="10158"/>
    <cellStyle name="Currency 2 2 3 4 4 3" xfId="10159"/>
    <cellStyle name="Currency 2 2 3 4 4 3 2" xfId="10160"/>
    <cellStyle name="Currency 2 2 3 4 4 4" xfId="10161"/>
    <cellStyle name="Currency 2 2 3 4 5" xfId="10162"/>
    <cellStyle name="Currency 2 2 3 4 5 2" xfId="10163"/>
    <cellStyle name="Currency 2 2 3 4 5 2 2" xfId="10164"/>
    <cellStyle name="Currency 2 2 3 4 5 3" xfId="10165"/>
    <cellStyle name="Currency 2 2 3 4 6" xfId="10166"/>
    <cellStyle name="Currency 2 2 3 4 6 2" xfId="10167"/>
    <cellStyle name="Currency 2 2 3 4 6 2 2" xfId="10168"/>
    <cellStyle name="Currency 2 2 3 4 6 3" xfId="10169"/>
    <cellStyle name="Currency 2 2 3 4 7" xfId="10170"/>
    <cellStyle name="Currency 2 2 3 4 7 2" xfId="10171"/>
    <cellStyle name="Currency 2 2 3 4 8" xfId="10172"/>
    <cellStyle name="Currency 2 2 3 4 8 2" xfId="36298"/>
    <cellStyle name="Currency 2 2 3 4 9" xfId="10173"/>
    <cellStyle name="Currency 2 2 3 5" xfId="10174"/>
    <cellStyle name="Currency 2 2 3 5 2" xfId="10175"/>
    <cellStyle name="Currency 2 2 3 5 2 2" xfId="10176"/>
    <cellStyle name="Currency 2 2 3 5 2 2 2" xfId="10177"/>
    <cellStyle name="Currency 2 2 3 5 2 2 2 2" xfId="10178"/>
    <cellStyle name="Currency 2 2 3 5 2 2 2 3" xfId="10179"/>
    <cellStyle name="Currency 2 2 3 5 2 2 3" xfId="10180"/>
    <cellStyle name="Currency 2 2 3 5 2 2 3 2" xfId="10181"/>
    <cellStyle name="Currency 2 2 3 5 2 2 4" xfId="10182"/>
    <cellStyle name="Currency 2 2 3 5 2 3" xfId="10183"/>
    <cellStyle name="Currency 2 2 3 5 2 3 2" xfId="10184"/>
    <cellStyle name="Currency 2 2 3 5 2 3 2 2" xfId="10185"/>
    <cellStyle name="Currency 2 2 3 5 2 3 3" xfId="10186"/>
    <cellStyle name="Currency 2 2 3 5 2 4" xfId="10187"/>
    <cellStyle name="Currency 2 2 3 5 2 4 2" xfId="10188"/>
    <cellStyle name="Currency 2 2 3 5 2 4 3" xfId="10189"/>
    <cellStyle name="Currency 2 2 3 5 2 5" xfId="10190"/>
    <cellStyle name="Currency 2 2 3 5 2 5 2" xfId="10191"/>
    <cellStyle name="Currency 2 2 3 5 2 6" xfId="10192"/>
    <cellStyle name="Currency 2 2 3 5 2 6 2" xfId="36299"/>
    <cellStyle name="Currency 2 2 3 5 2 7" xfId="10193"/>
    <cellStyle name="Currency 2 2 3 5 3" xfId="10194"/>
    <cellStyle name="Currency 2 2 3 5 3 2" xfId="10195"/>
    <cellStyle name="Currency 2 2 3 5 3 2 2" xfId="10196"/>
    <cellStyle name="Currency 2 2 3 5 3 2 2 2" xfId="10197"/>
    <cellStyle name="Currency 2 2 3 5 3 2 3" xfId="10198"/>
    <cellStyle name="Currency 2 2 3 5 3 3" xfId="10199"/>
    <cellStyle name="Currency 2 2 3 5 3 3 2" xfId="10200"/>
    <cellStyle name="Currency 2 2 3 5 3 4" xfId="10201"/>
    <cellStyle name="Currency 2 2 3 5 4" xfId="10202"/>
    <cellStyle name="Currency 2 2 3 5 4 2" xfId="10203"/>
    <cellStyle name="Currency 2 2 3 5 4 2 2" xfId="10204"/>
    <cellStyle name="Currency 2 2 3 5 4 3" xfId="10205"/>
    <cellStyle name="Currency 2 2 3 5 5" xfId="10206"/>
    <cellStyle name="Currency 2 2 3 5 5 2" xfId="10207"/>
    <cellStyle name="Currency 2 2 3 5 5 2 2" xfId="10208"/>
    <cellStyle name="Currency 2 2 3 5 5 3" xfId="10209"/>
    <cellStyle name="Currency 2 2 3 5 6" xfId="10210"/>
    <cellStyle name="Currency 2 2 3 5 6 2" xfId="10211"/>
    <cellStyle name="Currency 2 2 3 5 7" xfId="10212"/>
    <cellStyle name="Currency 2 2 3 5 7 2" xfId="36300"/>
    <cellStyle name="Currency 2 2 3 5 8" xfId="10213"/>
    <cellStyle name="Currency 2 2 3 6" xfId="10214"/>
    <cellStyle name="Currency 2 2 3 6 2" xfId="10215"/>
    <cellStyle name="Currency 2 2 3 6 2 2" xfId="10216"/>
    <cellStyle name="Currency 2 2 3 6 2 2 2" xfId="10217"/>
    <cellStyle name="Currency 2 2 3 6 2 2 2 2" xfId="10218"/>
    <cellStyle name="Currency 2 2 3 6 2 2 2 3" xfId="10219"/>
    <cellStyle name="Currency 2 2 3 6 2 2 3" xfId="10220"/>
    <cellStyle name="Currency 2 2 3 6 2 2 3 2" xfId="10221"/>
    <cellStyle name="Currency 2 2 3 6 2 2 4" xfId="10222"/>
    <cellStyle name="Currency 2 2 3 6 2 3" xfId="10223"/>
    <cellStyle name="Currency 2 2 3 6 2 3 2" xfId="10224"/>
    <cellStyle name="Currency 2 2 3 6 2 3 2 2" xfId="10225"/>
    <cellStyle name="Currency 2 2 3 6 2 3 3" xfId="10226"/>
    <cellStyle name="Currency 2 2 3 6 2 4" xfId="10227"/>
    <cellStyle name="Currency 2 2 3 6 2 4 2" xfId="10228"/>
    <cellStyle name="Currency 2 2 3 6 2 4 3" xfId="10229"/>
    <cellStyle name="Currency 2 2 3 6 2 5" xfId="10230"/>
    <cellStyle name="Currency 2 2 3 6 2 5 2" xfId="10231"/>
    <cellStyle name="Currency 2 2 3 6 2 6" xfId="10232"/>
    <cellStyle name="Currency 2 2 3 6 2 6 2" xfId="36301"/>
    <cellStyle name="Currency 2 2 3 6 2 7" xfId="10233"/>
    <cellStyle name="Currency 2 2 3 6 3" xfId="10234"/>
    <cellStyle name="Currency 2 2 3 6 3 2" xfId="10235"/>
    <cellStyle name="Currency 2 2 3 6 3 2 2" xfId="10236"/>
    <cellStyle name="Currency 2 2 3 6 3 2 2 2" xfId="10237"/>
    <cellStyle name="Currency 2 2 3 6 3 2 3" xfId="10238"/>
    <cellStyle name="Currency 2 2 3 6 3 3" xfId="10239"/>
    <cellStyle name="Currency 2 2 3 6 3 3 2" xfId="10240"/>
    <cellStyle name="Currency 2 2 3 6 3 4" xfId="10241"/>
    <cellStyle name="Currency 2 2 3 6 4" xfId="10242"/>
    <cellStyle name="Currency 2 2 3 6 4 2" xfId="10243"/>
    <cellStyle name="Currency 2 2 3 6 4 2 2" xfId="10244"/>
    <cellStyle name="Currency 2 2 3 6 4 3" xfId="10245"/>
    <cellStyle name="Currency 2 2 3 6 5" xfId="10246"/>
    <cellStyle name="Currency 2 2 3 6 5 2" xfId="10247"/>
    <cellStyle name="Currency 2 2 3 6 5 2 2" xfId="10248"/>
    <cellStyle name="Currency 2 2 3 6 5 3" xfId="10249"/>
    <cellStyle name="Currency 2 2 3 6 6" xfId="10250"/>
    <cellStyle name="Currency 2 2 3 6 6 2" xfId="10251"/>
    <cellStyle name="Currency 2 2 3 6 7" xfId="10252"/>
    <cellStyle name="Currency 2 2 3 6 7 2" xfId="36302"/>
    <cellStyle name="Currency 2 2 3 6 8" xfId="10253"/>
    <cellStyle name="Currency 2 2 3 7" xfId="10254"/>
    <cellStyle name="Currency 2 2 3 7 2" xfId="10255"/>
    <cellStyle name="Currency 2 2 3 7 2 2" xfId="10256"/>
    <cellStyle name="Currency 2 2 3 7 2 2 2" xfId="10257"/>
    <cellStyle name="Currency 2 2 3 7 2 2 2 2" xfId="10258"/>
    <cellStyle name="Currency 2 2 3 7 2 2 2 3" xfId="10259"/>
    <cellStyle name="Currency 2 2 3 7 2 2 3" xfId="10260"/>
    <cellStyle name="Currency 2 2 3 7 2 2 3 2" xfId="10261"/>
    <cellStyle name="Currency 2 2 3 7 2 2 4" xfId="10262"/>
    <cellStyle name="Currency 2 2 3 7 2 3" xfId="10263"/>
    <cellStyle name="Currency 2 2 3 7 2 3 2" xfId="10264"/>
    <cellStyle name="Currency 2 2 3 7 2 3 2 2" xfId="10265"/>
    <cellStyle name="Currency 2 2 3 7 2 3 3" xfId="10266"/>
    <cellStyle name="Currency 2 2 3 7 2 4" xfId="10267"/>
    <cellStyle name="Currency 2 2 3 7 2 4 2" xfId="10268"/>
    <cellStyle name="Currency 2 2 3 7 2 4 3" xfId="10269"/>
    <cellStyle name="Currency 2 2 3 7 2 5" xfId="10270"/>
    <cellStyle name="Currency 2 2 3 7 2 5 2" xfId="10271"/>
    <cellStyle name="Currency 2 2 3 7 2 6" xfId="10272"/>
    <cellStyle name="Currency 2 2 3 7 2 6 2" xfId="36303"/>
    <cellStyle name="Currency 2 2 3 7 2 7" xfId="10273"/>
    <cellStyle name="Currency 2 2 3 7 3" xfId="10274"/>
    <cellStyle name="Currency 2 2 3 7 3 2" xfId="10275"/>
    <cellStyle name="Currency 2 2 3 7 3 2 2" xfId="10276"/>
    <cellStyle name="Currency 2 2 3 7 3 2 2 2" xfId="10277"/>
    <cellStyle name="Currency 2 2 3 7 3 2 3" xfId="10278"/>
    <cellStyle name="Currency 2 2 3 7 3 3" xfId="10279"/>
    <cellStyle name="Currency 2 2 3 7 3 3 2" xfId="10280"/>
    <cellStyle name="Currency 2 2 3 7 3 4" xfId="10281"/>
    <cellStyle name="Currency 2 2 3 7 4" xfId="10282"/>
    <cellStyle name="Currency 2 2 3 7 4 2" xfId="10283"/>
    <cellStyle name="Currency 2 2 3 7 4 2 2" xfId="10284"/>
    <cellStyle name="Currency 2 2 3 7 4 3" xfId="10285"/>
    <cellStyle name="Currency 2 2 3 7 5" xfId="10286"/>
    <cellStyle name="Currency 2 2 3 7 5 2" xfId="10287"/>
    <cellStyle name="Currency 2 2 3 7 5 2 2" xfId="10288"/>
    <cellStyle name="Currency 2 2 3 7 5 3" xfId="10289"/>
    <cellStyle name="Currency 2 2 3 7 6" xfId="10290"/>
    <cellStyle name="Currency 2 2 3 7 6 2" xfId="10291"/>
    <cellStyle name="Currency 2 2 3 7 7" xfId="10292"/>
    <cellStyle name="Currency 2 2 3 7 7 2" xfId="36304"/>
    <cellStyle name="Currency 2 2 3 7 8" xfId="10293"/>
    <cellStyle name="Currency 2 2 3 8" xfId="10294"/>
    <cellStyle name="Currency 2 2 3 8 2" xfId="10295"/>
    <cellStyle name="Currency 2 2 3 8 2 2" xfId="10296"/>
    <cellStyle name="Currency 2 2 3 8 2 2 2" xfId="10297"/>
    <cellStyle name="Currency 2 2 3 8 2 2 3" xfId="10298"/>
    <cellStyle name="Currency 2 2 3 8 2 3" xfId="10299"/>
    <cellStyle name="Currency 2 2 3 8 2 3 2" xfId="10300"/>
    <cellStyle name="Currency 2 2 3 8 2 4" xfId="10301"/>
    <cellStyle name="Currency 2 2 3 8 3" xfId="10302"/>
    <cellStyle name="Currency 2 2 3 8 3 2" xfId="10303"/>
    <cellStyle name="Currency 2 2 3 8 3 2 2" xfId="10304"/>
    <cellStyle name="Currency 2 2 3 8 3 3" xfId="10305"/>
    <cellStyle name="Currency 2 2 3 8 4" xfId="10306"/>
    <cellStyle name="Currency 2 2 3 8 4 2" xfId="10307"/>
    <cellStyle name="Currency 2 2 3 8 4 3" xfId="10308"/>
    <cellStyle name="Currency 2 2 3 8 5" xfId="10309"/>
    <cellStyle name="Currency 2 2 3 8 5 2" xfId="10310"/>
    <cellStyle name="Currency 2 2 3 8 6" xfId="10311"/>
    <cellStyle name="Currency 2 2 3 8 6 2" xfId="36305"/>
    <cellStyle name="Currency 2 2 3 8 7" xfId="10312"/>
    <cellStyle name="Currency 2 2 3 9" xfId="10313"/>
    <cellStyle name="Currency 2 2 3 9 2" xfId="10314"/>
    <cellStyle name="Currency 2 2 3 9 2 2" xfId="10315"/>
    <cellStyle name="Currency 2 2 3 9 2 2 2" xfId="10316"/>
    <cellStyle name="Currency 2 2 3 9 2 3" xfId="10317"/>
    <cellStyle name="Currency 2 2 3 9 3" xfId="10318"/>
    <cellStyle name="Currency 2 2 3 9 3 2" xfId="10319"/>
    <cellStyle name="Currency 2 2 3 9 4" xfId="10320"/>
    <cellStyle name="Currency 2 2 4" xfId="10321"/>
    <cellStyle name="Currency 2 2 4 10" xfId="10322"/>
    <cellStyle name="Currency 2 2 4 10 2" xfId="10323"/>
    <cellStyle name="Currency 2 2 4 11" xfId="10324"/>
    <cellStyle name="Currency 2 2 4 11 2" xfId="36306"/>
    <cellStyle name="Currency 2 2 4 12" xfId="10325"/>
    <cellStyle name="Currency 2 2 4 2" xfId="10326"/>
    <cellStyle name="Currency 2 2 4 2 10" xfId="10327"/>
    <cellStyle name="Currency 2 2 4 2 2" xfId="10328"/>
    <cellStyle name="Currency 2 2 4 2 2 2" xfId="10329"/>
    <cellStyle name="Currency 2 2 4 2 2 2 2" xfId="10330"/>
    <cellStyle name="Currency 2 2 4 2 2 2 2 2" xfId="10331"/>
    <cellStyle name="Currency 2 2 4 2 2 2 2 2 2" xfId="10332"/>
    <cellStyle name="Currency 2 2 4 2 2 2 2 2 2 2" xfId="10333"/>
    <cellStyle name="Currency 2 2 4 2 2 2 2 2 2 3" xfId="10334"/>
    <cellStyle name="Currency 2 2 4 2 2 2 2 2 3" xfId="10335"/>
    <cellStyle name="Currency 2 2 4 2 2 2 2 2 3 2" xfId="10336"/>
    <cellStyle name="Currency 2 2 4 2 2 2 2 2 4" xfId="10337"/>
    <cellStyle name="Currency 2 2 4 2 2 2 2 3" xfId="10338"/>
    <cellStyle name="Currency 2 2 4 2 2 2 2 3 2" xfId="10339"/>
    <cellStyle name="Currency 2 2 4 2 2 2 2 3 2 2" xfId="10340"/>
    <cellStyle name="Currency 2 2 4 2 2 2 2 3 3" xfId="10341"/>
    <cellStyle name="Currency 2 2 4 2 2 2 2 4" xfId="10342"/>
    <cellStyle name="Currency 2 2 4 2 2 2 2 4 2" xfId="10343"/>
    <cellStyle name="Currency 2 2 4 2 2 2 2 4 3" xfId="10344"/>
    <cellStyle name="Currency 2 2 4 2 2 2 2 5" xfId="10345"/>
    <cellStyle name="Currency 2 2 4 2 2 2 2 5 2" xfId="10346"/>
    <cellStyle name="Currency 2 2 4 2 2 2 2 6" xfId="10347"/>
    <cellStyle name="Currency 2 2 4 2 2 2 2 6 2" xfId="36307"/>
    <cellStyle name="Currency 2 2 4 2 2 2 2 7" xfId="10348"/>
    <cellStyle name="Currency 2 2 4 2 2 2 3" xfId="10349"/>
    <cellStyle name="Currency 2 2 4 2 2 2 3 2" xfId="10350"/>
    <cellStyle name="Currency 2 2 4 2 2 2 3 2 2" xfId="10351"/>
    <cellStyle name="Currency 2 2 4 2 2 2 3 2 2 2" xfId="10352"/>
    <cellStyle name="Currency 2 2 4 2 2 2 3 2 3" xfId="10353"/>
    <cellStyle name="Currency 2 2 4 2 2 2 3 3" xfId="10354"/>
    <cellStyle name="Currency 2 2 4 2 2 2 3 3 2" xfId="10355"/>
    <cellStyle name="Currency 2 2 4 2 2 2 3 4" xfId="10356"/>
    <cellStyle name="Currency 2 2 4 2 2 2 4" xfId="10357"/>
    <cellStyle name="Currency 2 2 4 2 2 2 4 2" xfId="10358"/>
    <cellStyle name="Currency 2 2 4 2 2 2 4 2 2" xfId="10359"/>
    <cellStyle name="Currency 2 2 4 2 2 2 4 3" xfId="10360"/>
    <cellStyle name="Currency 2 2 4 2 2 2 5" xfId="10361"/>
    <cellStyle name="Currency 2 2 4 2 2 2 5 2" xfId="10362"/>
    <cellStyle name="Currency 2 2 4 2 2 2 5 2 2" xfId="10363"/>
    <cellStyle name="Currency 2 2 4 2 2 2 5 3" xfId="10364"/>
    <cellStyle name="Currency 2 2 4 2 2 2 6" xfId="10365"/>
    <cellStyle name="Currency 2 2 4 2 2 2 6 2" xfId="10366"/>
    <cellStyle name="Currency 2 2 4 2 2 2 7" xfId="10367"/>
    <cellStyle name="Currency 2 2 4 2 2 2 7 2" xfId="36308"/>
    <cellStyle name="Currency 2 2 4 2 2 2 8" xfId="10368"/>
    <cellStyle name="Currency 2 2 4 2 2 3" xfId="10369"/>
    <cellStyle name="Currency 2 2 4 2 2 3 2" xfId="10370"/>
    <cellStyle name="Currency 2 2 4 2 2 3 2 2" xfId="10371"/>
    <cellStyle name="Currency 2 2 4 2 2 3 2 2 2" xfId="10372"/>
    <cellStyle name="Currency 2 2 4 2 2 3 2 2 3" xfId="10373"/>
    <cellStyle name="Currency 2 2 4 2 2 3 2 3" xfId="10374"/>
    <cellStyle name="Currency 2 2 4 2 2 3 2 3 2" xfId="10375"/>
    <cellStyle name="Currency 2 2 4 2 2 3 2 4" xfId="10376"/>
    <cellStyle name="Currency 2 2 4 2 2 3 3" xfId="10377"/>
    <cellStyle name="Currency 2 2 4 2 2 3 3 2" xfId="10378"/>
    <cellStyle name="Currency 2 2 4 2 2 3 3 2 2" xfId="10379"/>
    <cellStyle name="Currency 2 2 4 2 2 3 3 3" xfId="10380"/>
    <cellStyle name="Currency 2 2 4 2 2 3 4" xfId="10381"/>
    <cellStyle name="Currency 2 2 4 2 2 3 4 2" xfId="10382"/>
    <cellStyle name="Currency 2 2 4 2 2 3 4 3" xfId="10383"/>
    <cellStyle name="Currency 2 2 4 2 2 3 5" xfId="10384"/>
    <cellStyle name="Currency 2 2 4 2 2 3 5 2" xfId="10385"/>
    <cellStyle name="Currency 2 2 4 2 2 3 6" xfId="10386"/>
    <cellStyle name="Currency 2 2 4 2 2 3 6 2" xfId="36309"/>
    <cellStyle name="Currency 2 2 4 2 2 3 7" xfId="10387"/>
    <cellStyle name="Currency 2 2 4 2 2 4" xfId="10388"/>
    <cellStyle name="Currency 2 2 4 2 2 4 2" xfId="10389"/>
    <cellStyle name="Currency 2 2 4 2 2 4 2 2" xfId="10390"/>
    <cellStyle name="Currency 2 2 4 2 2 4 2 2 2" xfId="10391"/>
    <cellStyle name="Currency 2 2 4 2 2 4 2 3" xfId="10392"/>
    <cellStyle name="Currency 2 2 4 2 2 4 3" xfId="10393"/>
    <cellStyle name="Currency 2 2 4 2 2 4 3 2" xfId="10394"/>
    <cellStyle name="Currency 2 2 4 2 2 4 4" xfId="10395"/>
    <cellStyle name="Currency 2 2 4 2 2 5" xfId="10396"/>
    <cellStyle name="Currency 2 2 4 2 2 5 2" xfId="10397"/>
    <cellStyle name="Currency 2 2 4 2 2 5 2 2" xfId="10398"/>
    <cellStyle name="Currency 2 2 4 2 2 5 3" xfId="10399"/>
    <cellStyle name="Currency 2 2 4 2 2 6" xfId="10400"/>
    <cellStyle name="Currency 2 2 4 2 2 6 2" xfId="10401"/>
    <cellStyle name="Currency 2 2 4 2 2 6 2 2" xfId="10402"/>
    <cellStyle name="Currency 2 2 4 2 2 6 3" xfId="10403"/>
    <cellStyle name="Currency 2 2 4 2 2 7" xfId="10404"/>
    <cellStyle name="Currency 2 2 4 2 2 7 2" xfId="10405"/>
    <cellStyle name="Currency 2 2 4 2 2 8" xfId="10406"/>
    <cellStyle name="Currency 2 2 4 2 2 8 2" xfId="36310"/>
    <cellStyle name="Currency 2 2 4 2 2 9" xfId="10407"/>
    <cellStyle name="Currency 2 2 4 2 3" xfId="10408"/>
    <cellStyle name="Currency 2 2 4 2 3 2" xfId="10409"/>
    <cellStyle name="Currency 2 2 4 2 3 2 2" xfId="10410"/>
    <cellStyle name="Currency 2 2 4 2 3 2 2 2" xfId="10411"/>
    <cellStyle name="Currency 2 2 4 2 3 2 2 2 2" xfId="10412"/>
    <cellStyle name="Currency 2 2 4 2 3 2 2 2 3" xfId="10413"/>
    <cellStyle name="Currency 2 2 4 2 3 2 2 3" xfId="10414"/>
    <cellStyle name="Currency 2 2 4 2 3 2 2 3 2" xfId="10415"/>
    <cellStyle name="Currency 2 2 4 2 3 2 2 4" xfId="10416"/>
    <cellStyle name="Currency 2 2 4 2 3 2 3" xfId="10417"/>
    <cellStyle name="Currency 2 2 4 2 3 2 3 2" xfId="10418"/>
    <cellStyle name="Currency 2 2 4 2 3 2 3 2 2" xfId="10419"/>
    <cellStyle name="Currency 2 2 4 2 3 2 3 3" xfId="10420"/>
    <cellStyle name="Currency 2 2 4 2 3 2 4" xfId="10421"/>
    <cellStyle name="Currency 2 2 4 2 3 2 4 2" xfId="10422"/>
    <cellStyle name="Currency 2 2 4 2 3 2 4 3" xfId="10423"/>
    <cellStyle name="Currency 2 2 4 2 3 2 5" xfId="10424"/>
    <cellStyle name="Currency 2 2 4 2 3 2 5 2" xfId="10425"/>
    <cellStyle name="Currency 2 2 4 2 3 2 6" xfId="10426"/>
    <cellStyle name="Currency 2 2 4 2 3 2 6 2" xfId="36311"/>
    <cellStyle name="Currency 2 2 4 2 3 2 7" xfId="10427"/>
    <cellStyle name="Currency 2 2 4 2 3 3" xfId="10428"/>
    <cellStyle name="Currency 2 2 4 2 3 3 2" xfId="10429"/>
    <cellStyle name="Currency 2 2 4 2 3 3 2 2" xfId="10430"/>
    <cellStyle name="Currency 2 2 4 2 3 3 2 2 2" xfId="10431"/>
    <cellStyle name="Currency 2 2 4 2 3 3 2 3" xfId="10432"/>
    <cellStyle name="Currency 2 2 4 2 3 3 3" xfId="10433"/>
    <cellStyle name="Currency 2 2 4 2 3 3 3 2" xfId="10434"/>
    <cellStyle name="Currency 2 2 4 2 3 3 4" xfId="10435"/>
    <cellStyle name="Currency 2 2 4 2 3 4" xfId="10436"/>
    <cellStyle name="Currency 2 2 4 2 3 4 2" xfId="10437"/>
    <cellStyle name="Currency 2 2 4 2 3 4 2 2" xfId="10438"/>
    <cellStyle name="Currency 2 2 4 2 3 4 3" xfId="10439"/>
    <cellStyle name="Currency 2 2 4 2 3 5" xfId="10440"/>
    <cellStyle name="Currency 2 2 4 2 3 5 2" xfId="10441"/>
    <cellStyle name="Currency 2 2 4 2 3 5 2 2" xfId="10442"/>
    <cellStyle name="Currency 2 2 4 2 3 5 3" xfId="10443"/>
    <cellStyle name="Currency 2 2 4 2 3 6" xfId="10444"/>
    <cellStyle name="Currency 2 2 4 2 3 6 2" xfId="10445"/>
    <cellStyle name="Currency 2 2 4 2 3 7" xfId="10446"/>
    <cellStyle name="Currency 2 2 4 2 3 7 2" xfId="36312"/>
    <cellStyle name="Currency 2 2 4 2 3 8" xfId="10447"/>
    <cellStyle name="Currency 2 2 4 2 4" xfId="10448"/>
    <cellStyle name="Currency 2 2 4 2 4 2" xfId="10449"/>
    <cellStyle name="Currency 2 2 4 2 4 2 2" xfId="10450"/>
    <cellStyle name="Currency 2 2 4 2 4 2 2 2" xfId="10451"/>
    <cellStyle name="Currency 2 2 4 2 4 2 2 3" xfId="10452"/>
    <cellStyle name="Currency 2 2 4 2 4 2 3" xfId="10453"/>
    <cellStyle name="Currency 2 2 4 2 4 2 3 2" xfId="10454"/>
    <cellStyle name="Currency 2 2 4 2 4 2 4" xfId="10455"/>
    <cellStyle name="Currency 2 2 4 2 4 3" xfId="10456"/>
    <cellStyle name="Currency 2 2 4 2 4 3 2" xfId="10457"/>
    <cellStyle name="Currency 2 2 4 2 4 3 2 2" xfId="10458"/>
    <cellStyle name="Currency 2 2 4 2 4 3 3" xfId="10459"/>
    <cellStyle name="Currency 2 2 4 2 4 4" xfId="10460"/>
    <cellStyle name="Currency 2 2 4 2 4 4 2" xfId="10461"/>
    <cellStyle name="Currency 2 2 4 2 4 4 3" xfId="10462"/>
    <cellStyle name="Currency 2 2 4 2 4 5" xfId="10463"/>
    <cellStyle name="Currency 2 2 4 2 4 5 2" xfId="10464"/>
    <cellStyle name="Currency 2 2 4 2 4 6" xfId="10465"/>
    <cellStyle name="Currency 2 2 4 2 4 6 2" xfId="36313"/>
    <cellStyle name="Currency 2 2 4 2 4 7" xfId="10466"/>
    <cellStyle name="Currency 2 2 4 2 5" xfId="10467"/>
    <cellStyle name="Currency 2 2 4 2 5 2" xfId="10468"/>
    <cellStyle name="Currency 2 2 4 2 5 2 2" xfId="10469"/>
    <cellStyle name="Currency 2 2 4 2 5 2 2 2" xfId="10470"/>
    <cellStyle name="Currency 2 2 4 2 5 2 3" xfId="10471"/>
    <cellStyle name="Currency 2 2 4 2 5 3" xfId="10472"/>
    <cellStyle name="Currency 2 2 4 2 5 3 2" xfId="10473"/>
    <cellStyle name="Currency 2 2 4 2 5 4" xfId="10474"/>
    <cellStyle name="Currency 2 2 4 2 6" xfId="10475"/>
    <cellStyle name="Currency 2 2 4 2 6 2" xfId="10476"/>
    <cellStyle name="Currency 2 2 4 2 6 2 2" xfId="10477"/>
    <cellStyle name="Currency 2 2 4 2 6 3" xfId="10478"/>
    <cellStyle name="Currency 2 2 4 2 7" xfId="10479"/>
    <cellStyle name="Currency 2 2 4 2 7 2" xfId="10480"/>
    <cellStyle name="Currency 2 2 4 2 7 2 2" xfId="10481"/>
    <cellStyle name="Currency 2 2 4 2 7 3" xfId="10482"/>
    <cellStyle name="Currency 2 2 4 2 8" xfId="10483"/>
    <cellStyle name="Currency 2 2 4 2 8 2" xfId="10484"/>
    <cellStyle name="Currency 2 2 4 2 9" xfId="10485"/>
    <cellStyle name="Currency 2 2 4 2 9 2" xfId="36314"/>
    <cellStyle name="Currency 2 2 4 3" xfId="10486"/>
    <cellStyle name="Currency 2 2 4 3 2" xfId="10487"/>
    <cellStyle name="Currency 2 2 4 3 2 2" xfId="10488"/>
    <cellStyle name="Currency 2 2 4 3 2 2 2" xfId="10489"/>
    <cellStyle name="Currency 2 2 4 3 2 2 2 2" xfId="10490"/>
    <cellStyle name="Currency 2 2 4 3 2 2 2 2 2" xfId="10491"/>
    <cellStyle name="Currency 2 2 4 3 2 2 2 2 3" xfId="10492"/>
    <cellStyle name="Currency 2 2 4 3 2 2 2 3" xfId="10493"/>
    <cellStyle name="Currency 2 2 4 3 2 2 2 3 2" xfId="10494"/>
    <cellStyle name="Currency 2 2 4 3 2 2 2 4" xfId="10495"/>
    <cellStyle name="Currency 2 2 4 3 2 2 3" xfId="10496"/>
    <cellStyle name="Currency 2 2 4 3 2 2 3 2" xfId="10497"/>
    <cellStyle name="Currency 2 2 4 3 2 2 3 2 2" xfId="10498"/>
    <cellStyle name="Currency 2 2 4 3 2 2 3 3" xfId="10499"/>
    <cellStyle name="Currency 2 2 4 3 2 2 4" xfId="10500"/>
    <cellStyle name="Currency 2 2 4 3 2 2 4 2" xfId="10501"/>
    <cellStyle name="Currency 2 2 4 3 2 2 4 3" xfId="10502"/>
    <cellStyle name="Currency 2 2 4 3 2 2 5" xfId="10503"/>
    <cellStyle name="Currency 2 2 4 3 2 2 5 2" xfId="10504"/>
    <cellStyle name="Currency 2 2 4 3 2 2 6" xfId="10505"/>
    <cellStyle name="Currency 2 2 4 3 2 2 6 2" xfId="36315"/>
    <cellStyle name="Currency 2 2 4 3 2 2 7" xfId="10506"/>
    <cellStyle name="Currency 2 2 4 3 2 3" xfId="10507"/>
    <cellStyle name="Currency 2 2 4 3 2 3 2" xfId="10508"/>
    <cellStyle name="Currency 2 2 4 3 2 3 2 2" xfId="10509"/>
    <cellStyle name="Currency 2 2 4 3 2 3 2 2 2" xfId="10510"/>
    <cellStyle name="Currency 2 2 4 3 2 3 2 3" xfId="10511"/>
    <cellStyle name="Currency 2 2 4 3 2 3 3" xfId="10512"/>
    <cellStyle name="Currency 2 2 4 3 2 3 3 2" xfId="10513"/>
    <cellStyle name="Currency 2 2 4 3 2 3 4" xfId="10514"/>
    <cellStyle name="Currency 2 2 4 3 2 4" xfId="10515"/>
    <cellStyle name="Currency 2 2 4 3 2 4 2" xfId="10516"/>
    <cellStyle name="Currency 2 2 4 3 2 4 2 2" xfId="10517"/>
    <cellStyle name="Currency 2 2 4 3 2 4 3" xfId="10518"/>
    <cellStyle name="Currency 2 2 4 3 2 5" xfId="10519"/>
    <cellStyle name="Currency 2 2 4 3 2 5 2" xfId="10520"/>
    <cellStyle name="Currency 2 2 4 3 2 5 2 2" xfId="10521"/>
    <cellStyle name="Currency 2 2 4 3 2 5 3" xfId="10522"/>
    <cellStyle name="Currency 2 2 4 3 2 6" xfId="10523"/>
    <cellStyle name="Currency 2 2 4 3 2 6 2" xfId="10524"/>
    <cellStyle name="Currency 2 2 4 3 2 7" xfId="10525"/>
    <cellStyle name="Currency 2 2 4 3 2 7 2" xfId="36316"/>
    <cellStyle name="Currency 2 2 4 3 2 8" xfId="10526"/>
    <cellStyle name="Currency 2 2 4 3 3" xfId="10527"/>
    <cellStyle name="Currency 2 2 4 3 3 2" xfId="10528"/>
    <cellStyle name="Currency 2 2 4 3 3 2 2" xfId="10529"/>
    <cellStyle name="Currency 2 2 4 3 3 2 2 2" xfId="10530"/>
    <cellStyle name="Currency 2 2 4 3 3 2 2 3" xfId="10531"/>
    <cellStyle name="Currency 2 2 4 3 3 2 3" xfId="10532"/>
    <cellStyle name="Currency 2 2 4 3 3 2 3 2" xfId="10533"/>
    <cellStyle name="Currency 2 2 4 3 3 2 4" xfId="10534"/>
    <cellStyle name="Currency 2 2 4 3 3 3" xfId="10535"/>
    <cellStyle name="Currency 2 2 4 3 3 3 2" xfId="10536"/>
    <cellStyle name="Currency 2 2 4 3 3 3 2 2" xfId="10537"/>
    <cellStyle name="Currency 2 2 4 3 3 3 3" xfId="10538"/>
    <cellStyle name="Currency 2 2 4 3 3 4" xfId="10539"/>
    <cellStyle name="Currency 2 2 4 3 3 4 2" xfId="10540"/>
    <cellStyle name="Currency 2 2 4 3 3 4 3" xfId="10541"/>
    <cellStyle name="Currency 2 2 4 3 3 5" xfId="10542"/>
    <cellStyle name="Currency 2 2 4 3 3 5 2" xfId="10543"/>
    <cellStyle name="Currency 2 2 4 3 3 6" xfId="10544"/>
    <cellStyle name="Currency 2 2 4 3 3 6 2" xfId="36317"/>
    <cellStyle name="Currency 2 2 4 3 3 7" xfId="10545"/>
    <cellStyle name="Currency 2 2 4 3 4" xfId="10546"/>
    <cellStyle name="Currency 2 2 4 3 4 2" xfId="10547"/>
    <cellStyle name="Currency 2 2 4 3 4 2 2" xfId="10548"/>
    <cellStyle name="Currency 2 2 4 3 4 2 2 2" xfId="10549"/>
    <cellStyle name="Currency 2 2 4 3 4 2 3" xfId="10550"/>
    <cellStyle name="Currency 2 2 4 3 4 3" xfId="10551"/>
    <cellStyle name="Currency 2 2 4 3 4 3 2" xfId="10552"/>
    <cellStyle name="Currency 2 2 4 3 4 4" xfId="10553"/>
    <cellStyle name="Currency 2 2 4 3 5" xfId="10554"/>
    <cellStyle name="Currency 2 2 4 3 5 2" xfId="10555"/>
    <cellStyle name="Currency 2 2 4 3 5 2 2" xfId="10556"/>
    <cellStyle name="Currency 2 2 4 3 5 3" xfId="10557"/>
    <cellStyle name="Currency 2 2 4 3 6" xfId="10558"/>
    <cellStyle name="Currency 2 2 4 3 6 2" xfId="10559"/>
    <cellStyle name="Currency 2 2 4 3 6 2 2" xfId="10560"/>
    <cellStyle name="Currency 2 2 4 3 6 3" xfId="10561"/>
    <cellStyle name="Currency 2 2 4 3 7" xfId="10562"/>
    <cellStyle name="Currency 2 2 4 3 7 2" xfId="10563"/>
    <cellStyle name="Currency 2 2 4 3 8" xfId="10564"/>
    <cellStyle name="Currency 2 2 4 3 8 2" xfId="36318"/>
    <cellStyle name="Currency 2 2 4 3 9" xfId="10565"/>
    <cellStyle name="Currency 2 2 4 4" xfId="10566"/>
    <cellStyle name="Currency 2 2 4 4 2" xfId="10567"/>
    <cellStyle name="Currency 2 2 4 4 2 2" xfId="10568"/>
    <cellStyle name="Currency 2 2 4 4 2 2 2" xfId="10569"/>
    <cellStyle name="Currency 2 2 4 4 2 2 2 2" xfId="10570"/>
    <cellStyle name="Currency 2 2 4 4 2 2 2 3" xfId="10571"/>
    <cellStyle name="Currency 2 2 4 4 2 2 3" xfId="10572"/>
    <cellStyle name="Currency 2 2 4 4 2 2 3 2" xfId="10573"/>
    <cellStyle name="Currency 2 2 4 4 2 2 4" xfId="10574"/>
    <cellStyle name="Currency 2 2 4 4 2 3" xfId="10575"/>
    <cellStyle name="Currency 2 2 4 4 2 3 2" xfId="10576"/>
    <cellStyle name="Currency 2 2 4 4 2 3 2 2" xfId="10577"/>
    <cellStyle name="Currency 2 2 4 4 2 3 3" xfId="10578"/>
    <cellStyle name="Currency 2 2 4 4 2 4" xfId="10579"/>
    <cellStyle name="Currency 2 2 4 4 2 4 2" xfId="10580"/>
    <cellStyle name="Currency 2 2 4 4 2 4 3" xfId="10581"/>
    <cellStyle name="Currency 2 2 4 4 2 5" xfId="10582"/>
    <cellStyle name="Currency 2 2 4 4 2 5 2" xfId="10583"/>
    <cellStyle name="Currency 2 2 4 4 2 6" xfId="10584"/>
    <cellStyle name="Currency 2 2 4 4 2 6 2" xfId="36319"/>
    <cellStyle name="Currency 2 2 4 4 2 7" xfId="10585"/>
    <cellStyle name="Currency 2 2 4 4 3" xfId="10586"/>
    <cellStyle name="Currency 2 2 4 4 3 2" xfId="10587"/>
    <cellStyle name="Currency 2 2 4 4 3 2 2" xfId="10588"/>
    <cellStyle name="Currency 2 2 4 4 3 2 2 2" xfId="10589"/>
    <cellStyle name="Currency 2 2 4 4 3 2 3" xfId="10590"/>
    <cellStyle name="Currency 2 2 4 4 3 3" xfId="10591"/>
    <cellStyle name="Currency 2 2 4 4 3 3 2" xfId="10592"/>
    <cellStyle name="Currency 2 2 4 4 3 4" xfId="10593"/>
    <cellStyle name="Currency 2 2 4 4 4" xfId="10594"/>
    <cellStyle name="Currency 2 2 4 4 4 2" xfId="10595"/>
    <cellStyle name="Currency 2 2 4 4 4 2 2" xfId="10596"/>
    <cellStyle name="Currency 2 2 4 4 4 3" xfId="10597"/>
    <cellStyle name="Currency 2 2 4 4 5" xfId="10598"/>
    <cellStyle name="Currency 2 2 4 4 5 2" xfId="10599"/>
    <cellStyle name="Currency 2 2 4 4 5 2 2" xfId="10600"/>
    <cellStyle name="Currency 2 2 4 4 5 3" xfId="10601"/>
    <cellStyle name="Currency 2 2 4 4 6" xfId="10602"/>
    <cellStyle name="Currency 2 2 4 4 6 2" xfId="10603"/>
    <cellStyle name="Currency 2 2 4 4 7" xfId="10604"/>
    <cellStyle name="Currency 2 2 4 4 7 2" xfId="36320"/>
    <cellStyle name="Currency 2 2 4 4 8" xfId="10605"/>
    <cellStyle name="Currency 2 2 4 5" xfId="10606"/>
    <cellStyle name="Currency 2 2 4 5 2" xfId="10607"/>
    <cellStyle name="Currency 2 2 4 5 2 2" xfId="10608"/>
    <cellStyle name="Currency 2 2 4 5 2 2 2" xfId="10609"/>
    <cellStyle name="Currency 2 2 4 5 2 2 2 2" xfId="10610"/>
    <cellStyle name="Currency 2 2 4 5 2 2 2 3" xfId="10611"/>
    <cellStyle name="Currency 2 2 4 5 2 2 3" xfId="10612"/>
    <cellStyle name="Currency 2 2 4 5 2 2 3 2" xfId="10613"/>
    <cellStyle name="Currency 2 2 4 5 2 2 4" xfId="10614"/>
    <cellStyle name="Currency 2 2 4 5 2 3" xfId="10615"/>
    <cellStyle name="Currency 2 2 4 5 2 3 2" xfId="10616"/>
    <cellStyle name="Currency 2 2 4 5 2 3 2 2" xfId="10617"/>
    <cellStyle name="Currency 2 2 4 5 2 3 3" xfId="10618"/>
    <cellStyle name="Currency 2 2 4 5 2 4" xfId="10619"/>
    <cellStyle name="Currency 2 2 4 5 2 4 2" xfId="10620"/>
    <cellStyle name="Currency 2 2 4 5 2 4 3" xfId="10621"/>
    <cellStyle name="Currency 2 2 4 5 2 5" xfId="10622"/>
    <cellStyle name="Currency 2 2 4 5 2 5 2" xfId="10623"/>
    <cellStyle name="Currency 2 2 4 5 2 6" xfId="10624"/>
    <cellStyle name="Currency 2 2 4 5 2 6 2" xfId="36321"/>
    <cellStyle name="Currency 2 2 4 5 2 7" xfId="10625"/>
    <cellStyle name="Currency 2 2 4 5 3" xfId="10626"/>
    <cellStyle name="Currency 2 2 4 5 3 2" xfId="10627"/>
    <cellStyle name="Currency 2 2 4 5 3 2 2" xfId="10628"/>
    <cellStyle name="Currency 2 2 4 5 3 2 2 2" xfId="10629"/>
    <cellStyle name="Currency 2 2 4 5 3 2 3" xfId="10630"/>
    <cellStyle name="Currency 2 2 4 5 3 3" xfId="10631"/>
    <cellStyle name="Currency 2 2 4 5 3 3 2" xfId="10632"/>
    <cellStyle name="Currency 2 2 4 5 3 4" xfId="10633"/>
    <cellStyle name="Currency 2 2 4 5 4" xfId="10634"/>
    <cellStyle name="Currency 2 2 4 5 4 2" xfId="10635"/>
    <cellStyle name="Currency 2 2 4 5 4 2 2" xfId="10636"/>
    <cellStyle name="Currency 2 2 4 5 4 3" xfId="10637"/>
    <cellStyle name="Currency 2 2 4 5 5" xfId="10638"/>
    <cellStyle name="Currency 2 2 4 5 5 2" xfId="10639"/>
    <cellStyle name="Currency 2 2 4 5 5 2 2" xfId="10640"/>
    <cellStyle name="Currency 2 2 4 5 5 3" xfId="10641"/>
    <cellStyle name="Currency 2 2 4 5 6" xfId="10642"/>
    <cellStyle name="Currency 2 2 4 5 6 2" xfId="10643"/>
    <cellStyle name="Currency 2 2 4 5 7" xfId="10644"/>
    <cellStyle name="Currency 2 2 4 5 7 2" xfId="36322"/>
    <cellStyle name="Currency 2 2 4 5 8" xfId="10645"/>
    <cellStyle name="Currency 2 2 4 6" xfId="10646"/>
    <cellStyle name="Currency 2 2 4 6 2" xfId="10647"/>
    <cellStyle name="Currency 2 2 4 6 2 2" xfId="10648"/>
    <cellStyle name="Currency 2 2 4 6 2 2 2" xfId="10649"/>
    <cellStyle name="Currency 2 2 4 6 2 2 3" xfId="10650"/>
    <cellStyle name="Currency 2 2 4 6 2 3" xfId="10651"/>
    <cellStyle name="Currency 2 2 4 6 2 3 2" xfId="10652"/>
    <cellStyle name="Currency 2 2 4 6 2 4" xfId="10653"/>
    <cellStyle name="Currency 2 2 4 6 3" xfId="10654"/>
    <cellStyle name="Currency 2 2 4 6 3 2" xfId="10655"/>
    <cellStyle name="Currency 2 2 4 6 3 2 2" xfId="10656"/>
    <cellStyle name="Currency 2 2 4 6 3 3" xfId="10657"/>
    <cellStyle name="Currency 2 2 4 6 4" xfId="10658"/>
    <cellStyle name="Currency 2 2 4 6 4 2" xfId="10659"/>
    <cellStyle name="Currency 2 2 4 6 4 3" xfId="10660"/>
    <cellStyle name="Currency 2 2 4 6 5" xfId="10661"/>
    <cellStyle name="Currency 2 2 4 6 5 2" xfId="10662"/>
    <cellStyle name="Currency 2 2 4 6 6" xfId="10663"/>
    <cellStyle name="Currency 2 2 4 6 6 2" xfId="36323"/>
    <cellStyle name="Currency 2 2 4 6 7" xfId="10664"/>
    <cellStyle name="Currency 2 2 4 7" xfId="10665"/>
    <cellStyle name="Currency 2 2 4 7 2" xfId="10666"/>
    <cellStyle name="Currency 2 2 4 7 2 2" xfId="10667"/>
    <cellStyle name="Currency 2 2 4 7 2 2 2" xfId="10668"/>
    <cellStyle name="Currency 2 2 4 7 2 3" xfId="10669"/>
    <cellStyle name="Currency 2 2 4 7 3" xfId="10670"/>
    <cellStyle name="Currency 2 2 4 7 3 2" xfId="10671"/>
    <cellStyle name="Currency 2 2 4 7 4" xfId="10672"/>
    <cellStyle name="Currency 2 2 4 8" xfId="10673"/>
    <cellStyle name="Currency 2 2 4 8 2" xfId="10674"/>
    <cellStyle name="Currency 2 2 4 8 2 2" xfId="10675"/>
    <cellStyle name="Currency 2 2 4 8 3" xfId="10676"/>
    <cellStyle name="Currency 2 2 4 9" xfId="10677"/>
    <cellStyle name="Currency 2 2 4 9 2" xfId="10678"/>
    <cellStyle name="Currency 2 2 4 9 2 2" xfId="10679"/>
    <cellStyle name="Currency 2 2 4 9 3" xfId="10680"/>
    <cellStyle name="Currency 2 2 5" xfId="10681"/>
    <cellStyle name="Currency 2 2 5 10" xfId="10682"/>
    <cellStyle name="Currency 2 2 5 10 2" xfId="10683"/>
    <cellStyle name="Currency 2 2 5 11" xfId="10684"/>
    <cellStyle name="Currency 2 2 5 11 2" xfId="36324"/>
    <cellStyle name="Currency 2 2 5 12" xfId="10685"/>
    <cellStyle name="Currency 2 2 5 2" xfId="10686"/>
    <cellStyle name="Currency 2 2 5 2 10" xfId="10687"/>
    <cellStyle name="Currency 2 2 5 2 2" xfId="10688"/>
    <cellStyle name="Currency 2 2 5 2 2 2" xfId="10689"/>
    <cellStyle name="Currency 2 2 5 2 2 2 2" xfId="10690"/>
    <cellStyle name="Currency 2 2 5 2 2 2 2 2" xfId="10691"/>
    <cellStyle name="Currency 2 2 5 2 2 2 2 2 2" xfId="10692"/>
    <cellStyle name="Currency 2 2 5 2 2 2 2 2 2 2" xfId="10693"/>
    <cellStyle name="Currency 2 2 5 2 2 2 2 2 2 3" xfId="10694"/>
    <cellStyle name="Currency 2 2 5 2 2 2 2 2 3" xfId="10695"/>
    <cellStyle name="Currency 2 2 5 2 2 2 2 2 3 2" xfId="10696"/>
    <cellStyle name="Currency 2 2 5 2 2 2 2 2 4" xfId="10697"/>
    <cellStyle name="Currency 2 2 5 2 2 2 2 3" xfId="10698"/>
    <cellStyle name="Currency 2 2 5 2 2 2 2 3 2" xfId="10699"/>
    <cellStyle name="Currency 2 2 5 2 2 2 2 3 2 2" xfId="10700"/>
    <cellStyle name="Currency 2 2 5 2 2 2 2 3 3" xfId="10701"/>
    <cellStyle name="Currency 2 2 5 2 2 2 2 4" xfId="10702"/>
    <cellStyle name="Currency 2 2 5 2 2 2 2 4 2" xfId="10703"/>
    <cellStyle name="Currency 2 2 5 2 2 2 2 4 3" xfId="10704"/>
    <cellStyle name="Currency 2 2 5 2 2 2 2 5" xfId="10705"/>
    <cellStyle name="Currency 2 2 5 2 2 2 2 5 2" xfId="10706"/>
    <cellStyle name="Currency 2 2 5 2 2 2 2 6" xfId="10707"/>
    <cellStyle name="Currency 2 2 5 2 2 2 2 6 2" xfId="36325"/>
    <cellStyle name="Currency 2 2 5 2 2 2 2 7" xfId="10708"/>
    <cellStyle name="Currency 2 2 5 2 2 2 3" xfId="10709"/>
    <cellStyle name="Currency 2 2 5 2 2 2 3 2" xfId="10710"/>
    <cellStyle name="Currency 2 2 5 2 2 2 3 2 2" xfId="10711"/>
    <cellStyle name="Currency 2 2 5 2 2 2 3 2 2 2" xfId="10712"/>
    <cellStyle name="Currency 2 2 5 2 2 2 3 2 3" xfId="10713"/>
    <cellStyle name="Currency 2 2 5 2 2 2 3 3" xfId="10714"/>
    <cellStyle name="Currency 2 2 5 2 2 2 3 3 2" xfId="10715"/>
    <cellStyle name="Currency 2 2 5 2 2 2 3 4" xfId="10716"/>
    <cellStyle name="Currency 2 2 5 2 2 2 4" xfId="10717"/>
    <cellStyle name="Currency 2 2 5 2 2 2 4 2" xfId="10718"/>
    <cellStyle name="Currency 2 2 5 2 2 2 4 2 2" xfId="10719"/>
    <cellStyle name="Currency 2 2 5 2 2 2 4 3" xfId="10720"/>
    <cellStyle name="Currency 2 2 5 2 2 2 5" xfId="10721"/>
    <cellStyle name="Currency 2 2 5 2 2 2 5 2" xfId="10722"/>
    <cellStyle name="Currency 2 2 5 2 2 2 5 2 2" xfId="10723"/>
    <cellStyle name="Currency 2 2 5 2 2 2 5 3" xfId="10724"/>
    <cellStyle name="Currency 2 2 5 2 2 2 6" xfId="10725"/>
    <cellStyle name="Currency 2 2 5 2 2 2 6 2" xfId="10726"/>
    <cellStyle name="Currency 2 2 5 2 2 2 7" xfId="10727"/>
    <cellStyle name="Currency 2 2 5 2 2 2 7 2" xfId="36326"/>
    <cellStyle name="Currency 2 2 5 2 2 2 8" xfId="10728"/>
    <cellStyle name="Currency 2 2 5 2 2 3" xfId="10729"/>
    <cellStyle name="Currency 2 2 5 2 2 3 2" xfId="10730"/>
    <cellStyle name="Currency 2 2 5 2 2 3 2 2" xfId="10731"/>
    <cellStyle name="Currency 2 2 5 2 2 3 2 2 2" xfId="10732"/>
    <cellStyle name="Currency 2 2 5 2 2 3 2 2 3" xfId="10733"/>
    <cellStyle name="Currency 2 2 5 2 2 3 2 3" xfId="10734"/>
    <cellStyle name="Currency 2 2 5 2 2 3 2 3 2" xfId="10735"/>
    <cellStyle name="Currency 2 2 5 2 2 3 2 4" xfId="10736"/>
    <cellStyle name="Currency 2 2 5 2 2 3 3" xfId="10737"/>
    <cellStyle name="Currency 2 2 5 2 2 3 3 2" xfId="10738"/>
    <cellStyle name="Currency 2 2 5 2 2 3 3 2 2" xfId="10739"/>
    <cellStyle name="Currency 2 2 5 2 2 3 3 3" xfId="10740"/>
    <cellStyle name="Currency 2 2 5 2 2 3 4" xfId="10741"/>
    <cellStyle name="Currency 2 2 5 2 2 3 4 2" xfId="10742"/>
    <cellStyle name="Currency 2 2 5 2 2 3 4 3" xfId="10743"/>
    <cellStyle name="Currency 2 2 5 2 2 3 5" xfId="10744"/>
    <cellStyle name="Currency 2 2 5 2 2 3 5 2" xfId="10745"/>
    <cellStyle name="Currency 2 2 5 2 2 3 6" xfId="10746"/>
    <cellStyle name="Currency 2 2 5 2 2 3 6 2" xfId="36327"/>
    <cellStyle name="Currency 2 2 5 2 2 3 7" xfId="10747"/>
    <cellStyle name="Currency 2 2 5 2 2 4" xfId="10748"/>
    <cellStyle name="Currency 2 2 5 2 2 4 2" xfId="10749"/>
    <cellStyle name="Currency 2 2 5 2 2 4 2 2" xfId="10750"/>
    <cellStyle name="Currency 2 2 5 2 2 4 2 2 2" xfId="10751"/>
    <cellStyle name="Currency 2 2 5 2 2 4 2 3" xfId="10752"/>
    <cellStyle name="Currency 2 2 5 2 2 4 3" xfId="10753"/>
    <cellStyle name="Currency 2 2 5 2 2 4 3 2" xfId="10754"/>
    <cellStyle name="Currency 2 2 5 2 2 4 4" xfId="10755"/>
    <cellStyle name="Currency 2 2 5 2 2 5" xfId="10756"/>
    <cellStyle name="Currency 2 2 5 2 2 5 2" xfId="10757"/>
    <cellStyle name="Currency 2 2 5 2 2 5 2 2" xfId="10758"/>
    <cellStyle name="Currency 2 2 5 2 2 5 3" xfId="10759"/>
    <cellStyle name="Currency 2 2 5 2 2 6" xfId="10760"/>
    <cellStyle name="Currency 2 2 5 2 2 6 2" xfId="10761"/>
    <cellStyle name="Currency 2 2 5 2 2 6 2 2" xfId="10762"/>
    <cellStyle name="Currency 2 2 5 2 2 6 3" xfId="10763"/>
    <cellStyle name="Currency 2 2 5 2 2 7" xfId="10764"/>
    <cellStyle name="Currency 2 2 5 2 2 7 2" xfId="10765"/>
    <cellStyle name="Currency 2 2 5 2 2 8" xfId="10766"/>
    <cellStyle name="Currency 2 2 5 2 2 8 2" xfId="36328"/>
    <cellStyle name="Currency 2 2 5 2 2 9" xfId="10767"/>
    <cellStyle name="Currency 2 2 5 2 3" xfId="10768"/>
    <cellStyle name="Currency 2 2 5 2 3 2" xfId="10769"/>
    <cellStyle name="Currency 2 2 5 2 3 2 2" xfId="10770"/>
    <cellStyle name="Currency 2 2 5 2 3 2 2 2" xfId="10771"/>
    <cellStyle name="Currency 2 2 5 2 3 2 2 2 2" xfId="10772"/>
    <cellStyle name="Currency 2 2 5 2 3 2 2 2 3" xfId="10773"/>
    <cellStyle name="Currency 2 2 5 2 3 2 2 3" xfId="10774"/>
    <cellStyle name="Currency 2 2 5 2 3 2 2 3 2" xfId="10775"/>
    <cellStyle name="Currency 2 2 5 2 3 2 2 4" xfId="10776"/>
    <cellStyle name="Currency 2 2 5 2 3 2 3" xfId="10777"/>
    <cellStyle name="Currency 2 2 5 2 3 2 3 2" xfId="10778"/>
    <cellStyle name="Currency 2 2 5 2 3 2 3 2 2" xfId="10779"/>
    <cellStyle name="Currency 2 2 5 2 3 2 3 3" xfId="10780"/>
    <cellStyle name="Currency 2 2 5 2 3 2 4" xfId="10781"/>
    <cellStyle name="Currency 2 2 5 2 3 2 4 2" xfId="10782"/>
    <cellStyle name="Currency 2 2 5 2 3 2 4 3" xfId="10783"/>
    <cellStyle name="Currency 2 2 5 2 3 2 5" xfId="10784"/>
    <cellStyle name="Currency 2 2 5 2 3 2 5 2" xfId="10785"/>
    <cellStyle name="Currency 2 2 5 2 3 2 6" xfId="10786"/>
    <cellStyle name="Currency 2 2 5 2 3 2 6 2" xfId="36329"/>
    <cellStyle name="Currency 2 2 5 2 3 2 7" xfId="10787"/>
    <cellStyle name="Currency 2 2 5 2 3 3" xfId="10788"/>
    <cellStyle name="Currency 2 2 5 2 3 3 2" xfId="10789"/>
    <cellStyle name="Currency 2 2 5 2 3 3 2 2" xfId="10790"/>
    <cellStyle name="Currency 2 2 5 2 3 3 2 2 2" xfId="10791"/>
    <cellStyle name="Currency 2 2 5 2 3 3 2 3" xfId="10792"/>
    <cellStyle name="Currency 2 2 5 2 3 3 3" xfId="10793"/>
    <cellStyle name="Currency 2 2 5 2 3 3 3 2" xfId="10794"/>
    <cellStyle name="Currency 2 2 5 2 3 3 4" xfId="10795"/>
    <cellStyle name="Currency 2 2 5 2 3 4" xfId="10796"/>
    <cellStyle name="Currency 2 2 5 2 3 4 2" xfId="10797"/>
    <cellStyle name="Currency 2 2 5 2 3 4 2 2" xfId="10798"/>
    <cellStyle name="Currency 2 2 5 2 3 4 3" xfId="10799"/>
    <cellStyle name="Currency 2 2 5 2 3 5" xfId="10800"/>
    <cellStyle name="Currency 2 2 5 2 3 5 2" xfId="10801"/>
    <cellStyle name="Currency 2 2 5 2 3 5 2 2" xfId="10802"/>
    <cellStyle name="Currency 2 2 5 2 3 5 3" xfId="10803"/>
    <cellStyle name="Currency 2 2 5 2 3 6" xfId="10804"/>
    <cellStyle name="Currency 2 2 5 2 3 6 2" xfId="10805"/>
    <cellStyle name="Currency 2 2 5 2 3 7" xfId="10806"/>
    <cellStyle name="Currency 2 2 5 2 3 7 2" xfId="36330"/>
    <cellStyle name="Currency 2 2 5 2 3 8" xfId="10807"/>
    <cellStyle name="Currency 2 2 5 2 4" xfId="10808"/>
    <cellStyle name="Currency 2 2 5 2 4 2" xfId="10809"/>
    <cellStyle name="Currency 2 2 5 2 4 2 2" xfId="10810"/>
    <cellStyle name="Currency 2 2 5 2 4 2 2 2" xfId="10811"/>
    <cellStyle name="Currency 2 2 5 2 4 2 2 3" xfId="10812"/>
    <cellStyle name="Currency 2 2 5 2 4 2 3" xfId="10813"/>
    <cellStyle name="Currency 2 2 5 2 4 2 3 2" xfId="10814"/>
    <cellStyle name="Currency 2 2 5 2 4 2 4" xfId="10815"/>
    <cellStyle name="Currency 2 2 5 2 4 3" xfId="10816"/>
    <cellStyle name="Currency 2 2 5 2 4 3 2" xfId="10817"/>
    <cellStyle name="Currency 2 2 5 2 4 3 2 2" xfId="10818"/>
    <cellStyle name="Currency 2 2 5 2 4 3 3" xfId="10819"/>
    <cellStyle name="Currency 2 2 5 2 4 4" xfId="10820"/>
    <cellStyle name="Currency 2 2 5 2 4 4 2" xfId="10821"/>
    <cellStyle name="Currency 2 2 5 2 4 4 3" xfId="10822"/>
    <cellStyle name="Currency 2 2 5 2 4 5" xfId="10823"/>
    <cellStyle name="Currency 2 2 5 2 4 5 2" xfId="10824"/>
    <cellStyle name="Currency 2 2 5 2 4 6" xfId="10825"/>
    <cellStyle name="Currency 2 2 5 2 4 6 2" xfId="36331"/>
    <cellStyle name="Currency 2 2 5 2 4 7" xfId="10826"/>
    <cellStyle name="Currency 2 2 5 2 5" xfId="10827"/>
    <cellStyle name="Currency 2 2 5 2 5 2" xfId="10828"/>
    <cellStyle name="Currency 2 2 5 2 5 2 2" xfId="10829"/>
    <cellStyle name="Currency 2 2 5 2 5 2 2 2" xfId="10830"/>
    <cellStyle name="Currency 2 2 5 2 5 2 3" xfId="10831"/>
    <cellStyle name="Currency 2 2 5 2 5 3" xfId="10832"/>
    <cellStyle name="Currency 2 2 5 2 5 3 2" xfId="10833"/>
    <cellStyle name="Currency 2 2 5 2 5 4" xfId="10834"/>
    <cellStyle name="Currency 2 2 5 2 6" xfId="10835"/>
    <cellStyle name="Currency 2 2 5 2 6 2" xfId="10836"/>
    <cellStyle name="Currency 2 2 5 2 6 2 2" xfId="10837"/>
    <cellStyle name="Currency 2 2 5 2 6 3" xfId="10838"/>
    <cellStyle name="Currency 2 2 5 2 7" xfId="10839"/>
    <cellStyle name="Currency 2 2 5 2 7 2" xfId="10840"/>
    <cellStyle name="Currency 2 2 5 2 7 2 2" xfId="10841"/>
    <cellStyle name="Currency 2 2 5 2 7 3" xfId="10842"/>
    <cellStyle name="Currency 2 2 5 2 8" xfId="10843"/>
    <cellStyle name="Currency 2 2 5 2 8 2" xfId="10844"/>
    <cellStyle name="Currency 2 2 5 2 9" xfId="10845"/>
    <cellStyle name="Currency 2 2 5 2 9 2" xfId="36332"/>
    <cellStyle name="Currency 2 2 5 3" xfId="10846"/>
    <cellStyle name="Currency 2 2 5 3 2" xfId="10847"/>
    <cellStyle name="Currency 2 2 5 3 2 2" xfId="10848"/>
    <cellStyle name="Currency 2 2 5 3 2 2 2" xfId="10849"/>
    <cellStyle name="Currency 2 2 5 3 2 2 2 2" xfId="10850"/>
    <cellStyle name="Currency 2 2 5 3 2 2 2 2 2" xfId="10851"/>
    <cellStyle name="Currency 2 2 5 3 2 2 2 2 3" xfId="10852"/>
    <cellStyle name="Currency 2 2 5 3 2 2 2 3" xfId="10853"/>
    <cellStyle name="Currency 2 2 5 3 2 2 2 3 2" xfId="10854"/>
    <cellStyle name="Currency 2 2 5 3 2 2 2 4" xfId="10855"/>
    <cellStyle name="Currency 2 2 5 3 2 2 3" xfId="10856"/>
    <cellStyle name="Currency 2 2 5 3 2 2 3 2" xfId="10857"/>
    <cellStyle name="Currency 2 2 5 3 2 2 3 2 2" xfId="10858"/>
    <cellStyle name="Currency 2 2 5 3 2 2 3 3" xfId="10859"/>
    <cellStyle name="Currency 2 2 5 3 2 2 4" xfId="10860"/>
    <cellStyle name="Currency 2 2 5 3 2 2 4 2" xfId="10861"/>
    <cellStyle name="Currency 2 2 5 3 2 2 4 3" xfId="10862"/>
    <cellStyle name="Currency 2 2 5 3 2 2 5" xfId="10863"/>
    <cellStyle name="Currency 2 2 5 3 2 2 5 2" xfId="10864"/>
    <cellStyle name="Currency 2 2 5 3 2 2 6" xfId="10865"/>
    <cellStyle name="Currency 2 2 5 3 2 2 6 2" xfId="36333"/>
    <cellStyle name="Currency 2 2 5 3 2 2 7" xfId="10866"/>
    <cellStyle name="Currency 2 2 5 3 2 3" xfId="10867"/>
    <cellStyle name="Currency 2 2 5 3 2 3 2" xfId="10868"/>
    <cellStyle name="Currency 2 2 5 3 2 3 2 2" xfId="10869"/>
    <cellStyle name="Currency 2 2 5 3 2 3 2 2 2" xfId="10870"/>
    <cellStyle name="Currency 2 2 5 3 2 3 2 3" xfId="10871"/>
    <cellStyle name="Currency 2 2 5 3 2 3 3" xfId="10872"/>
    <cellStyle name="Currency 2 2 5 3 2 3 3 2" xfId="10873"/>
    <cellStyle name="Currency 2 2 5 3 2 3 4" xfId="10874"/>
    <cellStyle name="Currency 2 2 5 3 2 4" xfId="10875"/>
    <cellStyle name="Currency 2 2 5 3 2 4 2" xfId="10876"/>
    <cellStyle name="Currency 2 2 5 3 2 4 2 2" xfId="10877"/>
    <cellStyle name="Currency 2 2 5 3 2 4 3" xfId="10878"/>
    <cellStyle name="Currency 2 2 5 3 2 5" xfId="10879"/>
    <cellStyle name="Currency 2 2 5 3 2 5 2" xfId="10880"/>
    <cellStyle name="Currency 2 2 5 3 2 5 2 2" xfId="10881"/>
    <cellStyle name="Currency 2 2 5 3 2 5 3" xfId="10882"/>
    <cellStyle name="Currency 2 2 5 3 2 6" xfId="10883"/>
    <cellStyle name="Currency 2 2 5 3 2 6 2" xfId="10884"/>
    <cellStyle name="Currency 2 2 5 3 2 7" xfId="10885"/>
    <cellStyle name="Currency 2 2 5 3 2 7 2" xfId="36334"/>
    <cellStyle name="Currency 2 2 5 3 2 8" xfId="10886"/>
    <cellStyle name="Currency 2 2 5 3 3" xfId="10887"/>
    <cellStyle name="Currency 2 2 5 3 3 2" xfId="10888"/>
    <cellStyle name="Currency 2 2 5 3 3 2 2" xfId="10889"/>
    <cellStyle name="Currency 2 2 5 3 3 2 2 2" xfId="10890"/>
    <cellStyle name="Currency 2 2 5 3 3 2 2 3" xfId="10891"/>
    <cellStyle name="Currency 2 2 5 3 3 2 3" xfId="10892"/>
    <cellStyle name="Currency 2 2 5 3 3 2 3 2" xfId="10893"/>
    <cellStyle name="Currency 2 2 5 3 3 2 4" xfId="10894"/>
    <cellStyle name="Currency 2 2 5 3 3 3" xfId="10895"/>
    <cellStyle name="Currency 2 2 5 3 3 3 2" xfId="10896"/>
    <cellStyle name="Currency 2 2 5 3 3 3 2 2" xfId="10897"/>
    <cellStyle name="Currency 2 2 5 3 3 3 3" xfId="10898"/>
    <cellStyle name="Currency 2 2 5 3 3 4" xfId="10899"/>
    <cellStyle name="Currency 2 2 5 3 3 4 2" xfId="10900"/>
    <cellStyle name="Currency 2 2 5 3 3 4 3" xfId="10901"/>
    <cellStyle name="Currency 2 2 5 3 3 5" xfId="10902"/>
    <cellStyle name="Currency 2 2 5 3 3 5 2" xfId="10903"/>
    <cellStyle name="Currency 2 2 5 3 3 6" xfId="10904"/>
    <cellStyle name="Currency 2 2 5 3 3 6 2" xfId="36335"/>
    <cellStyle name="Currency 2 2 5 3 3 7" xfId="10905"/>
    <cellStyle name="Currency 2 2 5 3 4" xfId="10906"/>
    <cellStyle name="Currency 2 2 5 3 4 2" xfId="10907"/>
    <cellStyle name="Currency 2 2 5 3 4 2 2" xfId="10908"/>
    <cellStyle name="Currency 2 2 5 3 4 2 2 2" xfId="10909"/>
    <cellStyle name="Currency 2 2 5 3 4 2 3" xfId="10910"/>
    <cellStyle name="Currency 2 2 5 3 4 3" xfId="10911"/>
    <cellStyle name="Currency 2 2 5 3 4 3 2" xfId="10912"/>
    <cellStyle name="Currency 2 2 5 3 4 4" xfId="10913"/>
    <cellStyle name="Currency 2 2 5 3 5" xfId="10914"/>
    <cellStyle name="Currency 2 2 5 3 5 2" xfId="10915"/>
    <cellStyle name="Currency 2 2 5 3 5 2 2" xfId="10916"/>
    <cellStyle name="Currency 2 2 5 3 5 3" xfId="10917"/>
    <cellStyle name="Currency 2 2 5 3 6" xfId="10918"/>
    <cellStyle name="Currency 2 2 5 3 6 2" xfId="10919"/>
    <cellStyle name="Currency 2 2 5 3 6 2 2" xfId="10920"/>
    <cellStyle name="Currency 2 2 5 3 6 3" xfId="10921"/>
    <cellStyle name="Currency 2 2 5 3 7" xfId="10922"/>
    <cellStyle name="Currency 2 2 5 3 7 2" xfId="10923"/>
    <cellStyle name="Currency 2 2 5 3 8" xfId="10924"/>
    <cellStyle name="Currency 2 2 5 3 8 2" xfId="36336"/>
    <cellStyle name="Currency 2 2 5 3 9" xfId="10925"/>
    <cellStyle name="Currency 2 2 5 4" xfId="10926"/>
    <cellStyle name="Currency 2 2 5 4 2" xfId="10927"/>
    <cellStyle name="Currency 2 2 5 4 2 2" xfId="10928"/>
    <cellStyle name="Currency 2 2 5 4 2 2 2" xfId="10929"/>
    <cellStyle name="Currency 2 2 5 4 2 2 2 2" xfId="10930"/>
    <cellStyle name="Currency 2 2 5 4 2 2 2 3" xfId="10931"/>
    <cellStyle name="Currency 2 2 5 4 2 2 3" xfId="10932"/>
    <cellStyle name="Currency 2 2 5 4 2 2 3 2" xfId="10933"/>
    <cellStyle name="Currency 2 2 5 4 2 2 4" xfId="10934"/>
    <cellStyle name="Currency 2 2 5 4 2 3" xfId="10935"/>
    <cellStyle name="Currency 2 2 5 4 2 3 2" xfId="10936"/>
    <cellStyle name="Currency 2 2 5 4 2 3 2 2" xfId="10937"/>
    <cellStyle name="Currency 2 2 5 4 2 3 3" xfId="10938"/>
    <cellStyle name="Currency 2 2 5 4 2 4" xfId="10939"/>
    <cellStyle name="Currency 2 2 5 4 2 4 2" xfId="10940"/>
    <cellStyle name="Currency 2 2 5 4 2 4 3" xfId="10941"/>
    <cellStyle name="Currency 2 2 5 4 2 5" xfId="10942"/>
    <cellStyle name="Currency 2 2 5 4 2 5 2" xfId="10943"/>
    <cellStyle name="Currency 2 2 5 4 2 6" xfId="10944"/>
    <cellStyle name="Currency 2 2 5 4 2 6 2" xfId="36337"/>
    <cellStyle name="Currency 2 2 5 4 2 7" xfId="10945"/>
    <cellStyle name="Currency 2 2 5 4 3" xfId="10946"/>
    <cellStyle name="Currency 2 2 5 4 3 2" xfId="10947"/>
    <cellStyle name="Currency 2 2 5 4 3 2 2" xfId="10948"/>
    <cellStyle name="Currency 2 2 5 4 3 2 2 2" xfId="10949"/>
    <cellStyle name="Currency 2 2 5 4 3 2 3" xfId="10950"/>
    <cellStyle name="Currency 2 2 5 4 3 3" xfId="10951"/>
    <cellStyle name="Currency 2 2 5 4 3 3 2" xfId="10952"/>
    <cellStyle name="Currency 2 2 5 4 3 4" xfId="10953"/>
    <cellStyle name="Currency 2 2 5 4 4" xfId="10954"/>
    <cellStyle name="Currency 2 2 5 4 4 2" xfId="10955"/>
    <cellStyle name="Currency 2 2 5 4 4 2 2" xfId="10956"/>
    <cellStyle name="Currency 2 2 5 4 4 3" xfId="10957"/>
    <cellStyle name="Currency 2 2 5 4 5" xfId="10958"/>
    <cellStyle name="Currency 2 2 5 4 5 2" xfId="10959"/>
    <cellStyle name="Currency 2 2 5 4 5 2 2" xfId="10960"/>
    <cellStyle name="Currency 2 2 5 4 5 3" xfId="10961"/>
    <cellStyle name="Currency 2 2 5 4 6" xfId="10962"/>
    <cellStyle name="Currency 2 2 5 4 6 2" xfId="10963"/>
    <cellStyle name="Currency 2 2 5 4 7" xfId="10964"/>
    <cellStyle name="Currency 2 2 5 4 7 2" xfId="36338"/>
    <cellStyle name="Currency 2 2 5 4 8" xfId="10965"/>
    <cellStyle name="Currency 2 2 5 5" xfId="10966"/>
    <cellStyle name="Currency 2 2 5 5 2" xfId="10967"/>
    <cellStyle name="Currency 2 2 5 5 2 2" xfId="10968"/>
    <cellStyle name="Currency 2 2 5 5 2 2 2" xfId="10969"/>
    <cellStyle name="Currency 2 2 5 5 2 2 2 2" xfId="10970"/>
    <cellStyle name="Currency 2 2 5 5 2 2 2 3" xfId="10971"/>
    <cellStyle name="Currency 2 2 5 5 2 2 3" xfId="10972"/>
    <cellStyle name="Currency 2 2 5 5 2 2 3 2" xfId="10973"/>
    <cellStyle name="Currency 2 2 5 5 2 2 4" xfId="10974"/>
    <cellStyle name="Currency 2 2 5 5 2 3" xfId="10975"/>
    <cellStyle name="Currency 2 2 5 5 2 3 2" xfId="10976"/>
    <cellStyle name="Currency 2 2 5 5 2 3 2 2" xfId="10977"/>
    <cellStyle name="Currency 2 2 5 5 2 3 3" xfId="10978"/>
    <cellStyle name="Currency 2 2 5 5 2 4" xfId="10979"/>
    <cellStyle name="Currency 2 2 5 5 2 4 2" xfId="10980"/>
    <cellStyle name="Currency 2 2 5 5 2 4 3" xfId="10981"/>
    <cellStyle name="Currency 2 2 5 5 2 5" xfId="10982"/>
    <cellStyle name="Currency 2 2 5 5 2 5 2" xfId="10983"/>
    <cellStyle name="Currency 2 2 5 5 2 6" xfId="10984"/>
    <cellStyle name="Currency 2 2 5 5 2 6 2" xfId="36339"/>
    <cellStyle name="Currency 2 2 5 5 2 7" xfId="10985"/>
    <cellStyle name="Currency 2 2 5 5 3" xfId="10986"/>
    <cellStyle name="Currency 2 2 5 5 3 2" xfId="10987"/>
    <cellStyle name="Currency 2 2 5 5 3 2 2" xfId="10988"/>
    <cellStyle name="Currency 2 2 5 5 3 2 2 2" xfId="10989"/>
    <cellStyle name="Currency 2 2 5 5 3 2 3" xfId="10990"/>
    <cellStyle name="Currency 2 2 5 5 3 3" xfId="10991"/>
    <cellStyle name="Currency 2 2 5 5 3 3 2" xfId="10992"/>
    <cellStyle name="Currency 2 2 5 5 3 4" xfId="10993"/>
    <cellStyle name="Currency 2 2 5 5 4" xfId="10994"/>
    <cellStyle name="Currency 2 2 5 5 4 2" xfId="10995"/>
    <cellStyle name="Currency 2 2 5 5 4 2 2" xfId="10996"/>
    <cellStyle name="Currency 2 2 5 5 4 3" xfId="10997"/>
    <cellStyle name="Currency 2 2 5 5 5" xfId="10998"/>
    <cellStyle name="Currency 2 2 5 5 5 2" xfId="10999"/>
    <cellStyle name="Currency 2 2 5 5 5 2 2" xfId="11000"/>
    <cellStyle name="Currency 2 2 5 5 5 3" xfId="11001"/>
    <cellStyle name="Currency 2 2 5 5 6" xfId="11002"/>
    <cellStyle name="Currency 2 2 5 5 6 2" xfId="11003"/>
    <cellStyle name="Currency 2 2 5 5 7" xfId="11004"/>
    <cellStyle name="Currency 2 2 5 5 7 2" xfId="36340"/>
    <cellStyle name="Currency 2 2 5 5 8" xfId="11005"/>
    <cellStyle name="Currency 2 2 5 6" xfId="11006"/>
    <cellStyle name="Currency 2 2 5 6 2" xfId="11007"/>
    <cellStyle name="Currency 2 2 5 6 2 2" xfId="11008"/>
    <cellStyle name="Currency 2 2 5 6 2 2 2" xfId="11009"/>
    <cellStyle name="Currency 2 2 5 6 2 2 3" xfId="11010"/>
    <cellStyle name="Currency 2 2 5 6 2 3" xfId="11011"/>
    <cellStyle name="Currency 2 2 5 6 2 3 2" xfId="11012"/>
    <cellStyle name="Currency 2 2 5 6 2 4" xfId="11013"/>
    <cellStyle name="Currency 2 2 5 6 3" xfId="11014"/>
    <cellStyle name="Currency 2 2 5 6 3 2" xfId="11015"/>
    <cellStyle name="Currency 2 2 5 6 3 2 2" xfId="11016"/>
    <cellStyle name="Currency 2 2 5 6 3 3" xfId="11017"/>
    <cellStyle name="Currency 2 2 5 6 4" xfId="11018"/>
    <cellStyle name="Currency 2 2 5 6 4 2" xfId="11019"/>
    <cellStyle name="Currency 2 2 5 6 4 3" xfId="11020"/>
    <cellStyle name="Currency 2 2 5 6 5" xfId="11021"/>
    <cellStyle name="Currency 2 2 5 6 5 2" xfId="11022"/>
    <cellStyle name="Currency 2 2 5 6 6" xfId="11023"/>
    <cellStyle name="Currency 2 2 5 6 6 2" xfId="36341"/>
    <cellStyle name="Currency 2 2 5 6 7" xfId="11024"/>
    <cellStyle name="Currency 2 2 5 7" xfId="11025"/>
    <cellStyle name="Currency 2 2 5 7 2" xfId="11026"/>
    <cellStyle name="Currency 2 2 5 7 2 2" xfId="11027"/>
    <cellStyle name="Currency 2 2 5 7 2 2 2" xfId="11028"/>
    <cellStyle name="Currency 2 2 5 7 2 3" xfId="11029"/>
    <cellStyle name="Currency 2 2 5 7 3" xfId="11030"/>
    <cellStyle name="Currency 2 2 5 7 3 2" xfId="11031"/>
    <cellStyle name="Currency 2 2 5 7 4" xfId="11032"/>
    <cellStyle name="Currency 2 2 5 8" xfId="11033"/>
    <cellStyle name="Currency 2 2 5 8 2" xfId="11034"/>
    <cellStyle name="Currency 2 2 5 8 2 2" xfId="11035"/>
    <cellStyle name="Currency 2 2 5 8 3" xfId="11036"/>
    <cellStyle name="Currency 2 2 5 9" xfId="11037"/>
    <cellStyle name="Currency 2 2 5 9 2" xfId="11038"/>
    <cellStyle name="Currency 2 2 5 9 2 2" xfId="11039"/>
    <cellStyle name="Currency 2 2 5 9 3" xfId="11040"/>
    <cellStyle name="Currency 2 2 6" xfId="11041"/>
    <cellStyle name="Currency 2 2 6 10" xfId="11042"/>
    <cellStyle name="Currency 2 2 6 2" xfId="11043"/>
    <cellStyle name="Currency 2 2 6 2 2" xfId="11044"/>
    <cellStyle name="Currency 2 2 6 2 2 2" xfId="11045"/>
    <cellStyle name="Currency 2 2 6 2 2 2 2" xfId="11046"/>
    <cellStyle name="Currency 2 2 6 2 2 2 2 2" xfId="11047"/>
    <cellStyle name="Currency 2 2 6 2 2 2 2 2 2" xfId="11048"/>
    <cellStyle name="Currency 2 2 6 2 2 2 2 2 3" xfId="11049"/>
    <cellStyle name="Currency 2 2 6 2 2 2 2 3" xfId="11050"/>
    <cellStyle name="Currency 2 2 6 2 2 2 2 3 2" xfId="11051"/>
    <cellStyle name="Currency 2 2 6 2 2 2 2 4" xfId="11052"/>
    <cellStyle name="Currency 2 2 6 2 2 2 3" xfId="11053"/>
    <cellStyle name="Currency 2 2 6 2 2 2 3 2" xfId="11054"/>
    <cellStyle name="Currency 2 2 6 2 2 2 3 2 2" xfId="11055"/>
    <cellStyle name="Currency 2 2 6 2 2 2 3 3" xfId="11056"/>
    <cellStyle name="Currency 2 2 6 2 2 2 4" xfId="11057"/>
    <cellStyle name="Currency 2 2 6 2 2 2 4 2" xfId="11058"/>
    <cellStyle name="Currency 2 2 6 2 2 2 4 3" xfId="11059"/>
    <cellStyle name="Currency 2 2 6 2 2 2 5" xfId="11060"/>
    <cellStyle name="Currency 2 2 6 2 2 2 5 2" xfId="11061"/>
    <cellStyle name="Currency 2 2 6 2 2 2 6" xfId="11062"/>
    <cellStyle name="Currency 2 2 6 2 2 2 6 2" xfId="36342"/>
    <cellStyle name="Currency 2 2 6 2 2 2 7" xfId="11063"/>
    <cellStyle name="Currency 2 2 6 2 2 3" xfId="11064"/>
    <cellStyle name="Currency 2 2 6 2 2 3 2" xfId="11065"/>
    <cellStyle name="Currency 2 2 6 2 2 3 2 2" xfId="11066"/>
    <cellStyle name="Currency 2 2 6 2 2 3 2 2 2" xfId="11067"/>
    <cellStyle name="Currency 2 2 6 2 2 3 2 3" xfId="11068"/>
    <cellStyle name="Currency 2 2 6 2 2 3 3" xfId="11069"/>
    <cellStyle name="Currency 2 2 6 2 2 3 3 2" xfId="11070"/>
    <cellStyle name="Currency 2 2 6 2 2 3 4" xfId="11071"/>
    <cellStyle name="Currency 2 2 6 2 2 4" xfId="11072"/>
    <cellStyle name="Currency 2 2 6 2 2 4 2" xfId="11073"/>
    <cellStyle name="Currency 2 2 6 2 2 4 2 2" xfId="11074"/>
    <cellStyle name="Currency 2 2 6 2 2 4 3" xfId="11075"/>
    <cellStyle name="Currency 2 2 6 2 2 5" xfId="11076"/>
    <cellStyle name="Currency 2 2 6 2 2 5 2" xfId="11077"/>
    <cellStyle name="Currency 2 2 6 2 2 5 2 2" xfId="11078"/>
    <cellStyle name="Currency 2 2 6 2 2 5 3" xfId="11079"/>
    <cellStyle name="Currency 2 2 6 2 2 6" xfId="11080"/>
    <cellStyle name="Currency 2 2 6 2 2 6 2" xfId="11081"/>
    <cellStyle name="Currency 2 2 6 2 2 7" xfId="11082"/>
    <cellStyle name="Currency 2 2 6 2 2 7 2" xfId="36343"/>
    <cellStyle name="Currency 2 2 6 2 2 8" xfId="11083"/>
    <cellStyle name="Currency 2 2 6 2 3" xfId="11084"/>
    <cellStyle name="Currency 2 2 6 2 3 2" xfId="11085"/>
    <cellStyle name="Currency 2 2 6 2 3 2 2" xfId="11086"/>
    <cellStyle name="Currency 2 2 6 2 3 2 2 2" xfId="11087"/>
    <cellStyle name="Currency 2 2 6 2 3 2 2 3" xfId="11088"/>
    <cellStyle name="Currency 2 2 6 2 3 2 3" xfId="11089"/>
    <cellStyle name="Currency 2 2 6 2 3 2 3 2" xfId="11090"/>
    <cellStyle name="Currency 2 2 6 2 3 2 4" xfId="11091"/>
    <cellStyle name="Currency 2 2 6 2 3 3" xfId="11092"/>
    <cellStyle name="Currency 2 2 6 2 3 3 2" xfId="11093"/>
    <cellStyle name="Currency 2 2 6 2 3 3 2 2" xfId="11094"/>
    <cellStyle name="Currency 2 2 6 2 3 3 3" xfId="11095"/>
    <cellStyle name="Currency 2 2 6 2 3 4" xfId="11096"/>
    <cellStyle name="Currency 2 2 6 2 3 4 2" xfId="11097"/>
    <cellStyle name="Currency 2 2 6 2 3 4 3" xfId="11098"/>
    <cellStyle name="Currency 2 2 6 2 3 5" xfId="11099"/>
    <cellStyle name="Currency 2 2 6 2 3 5 2" xfId="11100"/>
    <cellStyle name="Currency 2 2 6 2 3 6" xfId="11101"/>
    <cellStyle name="Currency 2 2 6 2 3 6 2" xfId="36344"/>
    <cellStyle name="Currency 2 2 6 2 3 7" xfId="11102"/>
    <cellStyle name="Currency 2 2 6 2 4" xfId="11103"/>
    <cellStyle name="Currency 2 2 6 2 4 2" xfId="11104"/>
    <cellStyle name="Currency 2 2 6 2 4 2 2" xfId="11105"/>
    <cellStyle name="Currency 2 2 6 2 4 2 2 2" xfId="11106"/>
    <cellStyle name="Currency 2 2 6 2 4 2 3" xfId="11107"/>
    <cellStyle name="Currency 2 2 6 2 4 3" xfId="11108"/>
    <cellStyle name="Currency 2 2 6 2 4 3 2" xfId="11109"/>
    <cellStyle name="Currency 2 2 6 2 4 4" xfId="11110"/>
    <cellStyle name="Currency 2 2 6 2 5" xfId="11111"/>
    <cellStyle name="Currency 2 2 6 2 5 2" xfId="11112"/>
    <cellStyle name="Currency 2 2 6 2 5 2 2" xfId="11113"/>
    <cellStyle name="Currency 2 2 6 2 5 3" xfId="11114"/>
    <cellStyle name="Currency 2 2 6 2 6" xfId="11115"/>
    <cellStyle name="Currency 2 2 6 2 6 2" xfId="11116"/>
    <cellStyle name="Currency 2 2 6 2 6 2 2" xfId="11117"/>
    <cellStyle name="Currency 2 2 6 2 6 3" xfId="11118"/>
    <cellStyle name="Currency 2 2 6 2 7" xfId="11119"/>
    <cellStyle name="Currency 2 2 6 2 7 2" xfId="11120"/>
    <cellStyle name="Currency 2 2 6 2 8" xfId="11121"/>
    <cellStyle name="Currency 2 2 6 2 8 2" xfId="36345"/>
    <cellStyle name="Currency 2 2 6 2 9" xfId="11122"/>
    <cellStyle name="Currency 2 2 6 3" xfId="11123"/>
    <cellStyle name="Currency 2 2 6 3 2" xfId="11124"/>
    <cellStyle name="Currency 2 2 6 3 2 2" xfId="11125"/>
    <cellStyle name="Currency 2 2 6 3 2 2 2" xfId="11126"/>
    <cellStyle name="Currency 2 2 6 3 2 2 2 2" xfId="11127"/>
    <cellStyle name="Currency 2 2 6 3 2 2 2 3" xfId="11128"/>
    <cellStyle name="Currency 2 2 6 3 2 2 3" xfId="11129"/>
    <cellStyle name="Currency 2 2 6 3 2 2 3 2" xfId="11130"/>
    <cellStyle name="Currency 2 2 6 3 2 2 4" xfId="11131"/>
    <cellStyle name="Currency 2 2 6 3 2 3" xfId="11132"/>
    <cellStyle name="Currency 2 2 6 3 2 3 2" xfId="11133"/>
    <cellStyle name="Currency 2 2 6 3 2 3 2 2" xfId="11134"/>
    <cellStyle name="Currency 2 2 6 3 2 3 3" xfId="11135"/>
    <cellStyle name="Currency 2 2 6 3 2 4" xfId="11136"/>
    <cellStyle name="Currency 2 2 6 3 2 4 2" xfId="11137"/>
    <cellStyle name="Currency 2 2 6 3 2 4 3" xfId="11138"/>
    <cellStyle name="Currency 2 2 6 3 2 5" xfId="11139"/>
    <cellStyle name="Currency 2 2 6 3 2 5 2" xfId="11140"/>
    <cellStyle name="Currency 2 2 6 3 2 6" xfId="11141"/>
    <cellStyle name="Currency 2 2 6 3 2 6 2" xfId="36346"/>
    <cellStyle name="Currency 2 2 6 3 2 7" xfId="11142"/>
    <cellStyle name="Currency 2 2 6 3 3" xfId="11143"/>
    <cellStyle name="Currency 2 2 6 3 3 2" xfId="11144"/>
    <cellStyle name="Currency 2 2 6 3 3 2 2" xfId="11145"/>
    <cellStyle name="Currency 2 2 6 3 3 2 2 2" xfId="11146"/>
    <cellStyle name="Currency 2 2 6 3 3 2 3" xfId="11147"/>
    <cellStyle name="Currency 2 2 6 3 3 3" xfId="11148"/>
    <cellStyle name="Currency 2 2 6 3 3 3 2" xfId="11149"/>
    <cellStyle name="Currency 2 2 6 3 3 4" xfId="11150"/>
    <cellStyle name="Currency 2 2 6 3 4" xfId="11151"/>
    <cellStyle name="Currency 2 2 6 3 4 2" xfId="11152"/>
    <cellStyle name="Currency 2 2 6 3 4 2 2" xfId="11153"/>
    <cellStyle name="Currency 2 2 6 3 4 3" xfId="11154"/>
    <cellStyle name="Currency 2 2 6 3 5" xfId="11155"/>
    <cellStyle name="Currency 2 2 6 3 5 2" xfId="11156"/>
    <cellStyle name="Currency 2 2 6 3 5 2 2" xfId="11157"/>
    <cellStyle name="Currency 2 2 6 3 5 3" xfId="11158"/>
    <cellStyle name="Currency 2 2 6 3 6" xfId="11159"/>
    <cellStyle name="Currency 2 2 6 3 6 2" xfId="11160"/>
    <cellStyle name="Currency 2 2 6 3 7" xfId="11161"/>
    <cellStyle name="Currency 2 2 6 3 7 2" xfId="36347"/>
    <cellStyle name="Currency 2 2 6 3 8" xfId="11162"/>
    <cellStyle name="Currency 2 2 6 4" xfId="11163"/>
    <cellStyle name="Currency 2 2 6 4 2" xfId="11164"/>
    <cellStyle name="Currency 2 2 6 4 2 2" xfId="11165"/>
    <cellStyle name="Currency 2 2 6 4 2 2 2" xfId="11166"/>
    <cellStyle name="Currency 2 2 6 4 2 2 3" xfId="11167"/>
    <cellStyle name="Currency 2 2 6 4 2 3" xfId="11168"/>
    <cellStyle name="Currency 2 2 6 4 2 3 2" xfId="11169"/>
    <cellStyle name="Currency 2 2 6 4 2 4" xfId="11170"/>
    <cellStyle name="Currency 2 2 6 4 3" xfId="11171"/>
    <cellStyle name="Currency 2 2 6 4 3 2" xfId="11172"/>
    <cellStyle name="Currency 2 2 6 4 3 2 2" xfId="11173"/>
    <cellStyle name="Currency 2 2 6 4 3 3" xfId="11174"/>
    <cellStyle name="Currency 2 2 6 4 4" xfId="11175"/>
    <cellStyle name="Currency 2 2 6 4 4 2" xfId="11176"/>
    <cellStyle name="Currency 2 2 6 4 4 3" xfId="11177"/>
    <cellStyle name="Currency 2 2 6 4 5" xfId="11178"/>
    <cellStyle name="Currency 2 2 6 4 5 2" xfId="11179"/>
    <cellStyle name="Currency 2 2 6 4 6" xfId="11180"/>
    <cellStyle name="Currency 2 2 6 4 6 2" xfId="36348"/>
    <cellStyle name="Currency 2 2 6 4 7" xfId="11181"/>
    <cellStyle name="Currency 2 2 6 5" xfId="11182"/>
    <cellStyle name="Currency 2 2 6 5 2" xfId="11183"/>
    <cellStyle name="Currency 2 2 6 5 2 2" xfId="11184"/>
    <cellStyle name="Currency 2 2 6 5 2 2 2" xfId="11185"/>
    <cellStyle name="Currency 2 2 6 5 2 3" xfId="11186"/>
    <cellStyle name="Currency 2 2 6 5 3" xfId="11187"/>
    <cellStyle name="Currency 2 2 6 5 3 2" xfId="11188"/>
    <cellStyle name="Currency 2 2 6 5 4" xfId="11189"/>
    <cellStyle name="Currency 2 2 6 6" xfId="11190"/>
    <cellStyle name="Currency 2 2 6 6 2" xfId="11191"/>
    <cellStyle name="Currency 2 2 6 6 2 2" xfId="11192"/>
    <cellStyle name="Currency 2 2 6 6 3" xfId="11193"/>
    <cellStyle name="Currency 2 2 6 7" xfId="11194"/>
    <cellStyle name="Currency 2 2 6 7 2" xfId="11195"/>
    <cellStyle name="Currency 2 2 6 7 2 2" xfId="11196"/>
    <cellStyle name="Currency 2 2 6 7 3" xfId="11197"/>
    <cellStyle name="Currency 2 2 6 8" xfId="11198"/>
    <cellStyle name="Currency 2 2 6 8 2" xfId="11199"/>
    <cellStyle name="Currency 2 2 6 9" xfId="11200"/>
    <cellStyle name="Currency 2 2 6 9 2" xfId="36349"/>
    <cellStyle name="Currency 2 2 7" xfId="11201"/>
    <cellStyle name="Currency 2 2 7 2" xfId="11202"/>
    <cellStyle name="Currency 2 2 7 2 2" xfId="11203"/>
    <cellStyle name="Currency 2 2 7 2 2 2" xfId="11204"/>
    <cellStyle name="Currency 2 2 7 2 2 2 2" xfId="11205"/>
    <cellStyle name="Currency 2 2 7 2 2 2 2 2" xfId="11206"/>
    <cellStyle name="Currency 2 2 7 2 2 2 2 3" xfId="11207"/>
    <cellStyle name="Currency 2 2 7 2 2 2 3" xfId="11208"/>
    <cellStyle name="Currency 2 2 7 2 2 2 3 2" xfId="11209"/>
    <cellStyle name="Currency 2 2 7 2 2 2 4" xfId="11210"/>
    <cellStyle name="Currency 2 2 7 2 2 3" xfId="11211"/>
    <cellStyle name="Currency 2 2 7 2 2 3 2" xfId="11212"/>
    <cellStyle name="Currency 2 2 7 2 2 3 2 2" xfId="11213"/>
    <cellStyle name="Currency 2 2 7 2 2 3 3" xfId="11214"/>
    <cellStyle name="Currency 2 2 7 2 2 4" xfId="11215"/>
    <cellStyle name="Currency 2 2 7 2 2 4 2" xfId="11216"/>
    <cellStyle name="Currency 2 2 7 2 2 4 3" xfId="11217"/>
    <cellStyle name="Currency 2 2 7 2 2 5" xfId="11218"/>
    <cellStyle name="Currency 2 2 7 2 2 5 2" xfId="11219"/>
    <cellStyle name="Currency 2 2 7 2 2 6" xfId="11220"/>
    <cellStyle name="Currency 2 2 7 2 2 6 2" xfId="36350"/>
    <cellStyle name="Currency 2 2 7 2 2 7" xfId="11221"/>
    <cellStyle name="Currency 2 2 7 2 3" xfId="11222"/>
    <cellStyle name="Currency 2 2 7 2 3 2" xfId="11223"/>
    <cellStyle name="Currency 2 2 7 2 3 2 2" xfId="11224"/>
    <cellStyle name="Currency 2 2 7 2 3 2 2 2" xfId="11225"/>
    <cellStyle name="Currency 2 2 7 2 3 2 3" xfId="11226"/>
    <cellStyle name="Currency 2 2 7 2 3 3" xfId="11227"/>
    <cellStyle name="Currency 2 2 7 2 3 3 2" xfId="11228"/>
    <cellStyle name="Currency 2 2 7 2 3 4" xfId="11229"/>
    <cellStyle name="Currency 2 2 7 2 4" xfId="11230"/>
    <cellStyle name="Currency 2 2 7 2 4 2" xfId="11231"/>
    <cellStyle name="Currency 2 2 7 2 4 2 2" xfId="11232"/>
    <cellStyle name="Currency 2 2 7 2 4 3" xfId="11233"/>
    <cellStyle name="Currency 2 2 7 2 5" xfId="11234"/>
    <cellStyle name="Currency 2 2 7 2 5 2" xfId="11235"/>
    <cellStyle name="Currency 2 2 7 2 5 2 2" xfId="11236"/>
    <cellStyle name="Currency 2 2 7 2 5 3" xfId="11237"/>
    <cellStyle name="Currency 2 2 7 2 6" xfId="11238"/>
    <cellStyle name="Currency 2 2 7 2 6 2" xfId="11239"/>
    <cellStyle name="Currency 2 2 7 2 7" xfId="11240"/>
    <cellStyle name="Currency 2 2 7 2 7 2" xfId="36351"/>
    <cellStyle name="Currency 2 2 7 2 8" xfId="11241"/>
    <cellStyle name="Currency 2 2 7 3" xfId="11242"/>
    <cellStyle name="Currency 2 2 7 3 2" xfId="11243"/>
    <cellStyle name="Currency 2 2 7 3 2 2" xfId="11244"/>
    <cellStyle name="Currency 2 2 7 3 2 2 2" xfId="11245"/>
    <cellStyle name="Currency 2 2 7 3 2 2 3" xfId="11246"/>
    <cellStyle name="Currency 2 2 7 3 2 3" xfId="11247"/>
    <cellStyle name="Currency 2 2 7 3 2 3 2" xfId="11248"/>
    <cellStyle name="Currency 2 2 7 3 2 4" xfId="11249"/>
    <cellStyle name="Currency 2 2 7 3 3" xfId="11250"/>
    <cellStyle name="Currency 2 2 7 3 3 2" xfId="11251"/>
    <cellStyle name="Currency 2 2 7 3 3 2 2" xfId="11252"/>
    <cellStyle name="Currency 2 2 7 3 3 3" xfId="11253"/>
    <cellStyle name="Currency 2 2 7 3 4" xfId="11254"/>
    <cellStyle name="Currency 2 2 7 3 4 2" xfId="11255"/>
    <cellStyle name="Currency 2 2 7 3 4 3" xfId="11256"/>
    <cellStyle name="Currency 2 2 7 3 5" xfId="11257"/>
    <cellStyle name="Currency 2 2 7 3 5 2" xfId="11258"/>
    <cellStyle name="Currency 2 2 7 3 6" xfId="11259"/>
    <cellStyle name="Currency 2 2 7 3 6 2" xfId="36352"/>
    <cellStyle name="Currency 2 2 7 3 7" xfId="11260"/>
    <cellStyle name="Currency 2 2 7 4" xfId="11261"/>
    <cellStyle name="Currency 2 2 7 4 2" xfId="11262"/>
    <cellStyle name="Currency 2 2 7 4 2 2" xfId="11263"/>
    <cellStyle name="Currency 2 2 7 4 2 2 2" xfId="11264"/>
    <cellStyle name="Currency 2 2 7 4 2 3" xfId="11265"/>
    <cellStyle name="Currency 2 2 7 4 3" xfId="11266"/>
    <cellStyle name="Currency 2 2 7 4 3 2" xfId="11267"/>
    <cellStyle name="Currency 2 2 7 4 4" xfId="11268"/>
    <cellStyle name="Currency 2 2 7 5" xfId="11269"/>
    <cellStyle name="Currency 2 2 7 5 2" xfId="11270"/>
    <cellStyle name="Currency 2 2 7 5 2 2" xfId="11271"/>
    <cellStyle name="Currency 2 2 7 5 3" xfId="11272"/>
    <cellStyle name="Currency 2 2 7 6" xfId="11273"/>
    <cellStyle name="Currency 2 2 7 6 2" xfId="11274"/>
    <cellStyle name="Currency 2 2 7 6 2 2" xfId="11275"/>
    <cellStyle name="Currency 2 2 7 6 3" xfId="11276"/>
    <cellStyle name="Currency 2 2 7 7" xfId="11277"/>
    <cellStyle name="Currency 2 2 7 7 2" xfId="11278"/>
    <cellStyle name="Currency 2 2 7 8" xfId="11279"/>
    <cellStyle name="Currency 2 2 7 8 2" xfId="36353"/>
    <cellStyle name="Currency 2 2 7 9" xfId="11280"/>
    <cellStyle name="Currency 2 2 8" xfId="11281"/>
    <cellStyle name="Currency 2 2 8 2" xfId="11282"/>
    <cellStyle name="Currency 2 2 8 2 2" xfId="11283"/>
    <cellStyle name="Currency 2 2 8 2 2 2" xfId="11284"/>
    <cellStyle name="Currency 2 2 8 2 2 2 2" xfId="11285"/>
    <cellStyle name="Currency 2 2 8 2 2 2 2 2" xfId="11286"/>
    <cellStyle name="Currency 2 2 8 2 2 2 2 3" xfId="11287"/>
    <cellStyle name="Currency 2 2 8 2 2 2 3" xfId="11288"/>
    <cellStyle name="Currency 2 2 8 2 2 2 3 2" xfId="11289"/>
    <cellStyle name="Currency 2 2 8 2 2 2 4" xfId="11290"/>
    <cellStyle name="Currency 2 2 8 2 2 3" xfId="11291"/>
    <cellStyle name="Currency 2 2 8 2 2 3 2" xfId="11292"/>
    <cellStyle name="Currency 2 2 8 2 2 3 2 2" xfId="11293"/>
    <cellStyle name="Currency 2 2 8 2 2 3 3" xfId="11294"/>
    <cellStyle name="Currency 2 2 8 2 2 4" xfId="11295"/>
    <cellStyle name="Currency 2 2 8 2 2 4 2" xfId="11296"/>
    <cellStyle name="Currency 2 2 8 2 2 4 3" xfId="11297"/>
    <cellStyle name="Currency 2 2 8 2 2 5" xfId="11298"/>
    <cellStyle name="Currency 2 2 8 2 2 5 2" xfId="11299"/>
    <cellStyle name="Currency 2 2 8 2 2 6" xfId="11300"/>
    <cellStyle name="Currency 2 2 8 2 2 6 2" xfId="36354"/>
    <cellStyle name="Currency 2 2 8 2 2 7" xfId="11301"/>
    <cellStyle name="Currency 2 2 8 2 3" xfId="11302"/>
    <cellStyle name="Currency 2 2 8 2 3 2" xfId="11303"/>
    <cellStyle name="Currency 2 2 8 2 3 2 2" xfId="11304"/>
    <cellStyle name="Currency 2 2 8 2 3 2 2 2" xfId="11305"/>
    <cellStyle name="Currency 2 2 8 2 3 2 3" xfId="11306"/>
    <cellStyle name="Currency 2 2 8 2 3 3" xfId="11307"/>
    <cellStyle name="Currency 2 2 8 2 3 3 2" xfId="11308"/>
    <cellStyle name="Currency 2 2 8 2 3 4" xfId="11309"/>
    <cellStyle name="Currency 2 2 8 2 4" xfId="11310"/>
    <cellStyle name="Currency 2 2 8 2 4 2" xfId="11311"/>
    <cellStyle name="Currency 2 2 8 2 4 2 2" xfId="11312"/>
    <cellStyle name="Currency 2 2 8 2 4 3" xfId="11313"/>
    <cellStyle name="Currency 2 2 8 2 5" xfId="11314"/>
    <cellStyle name="Currency 2 2 8 2 5 2" xfId="11315"/>
    <cellStyle name="Currency 2 2 8 2 5 2 2" xfId="11316"/>
    <cellStyle name="Currency 2 2 8 2 5 3" xfId="11317"/>
    <cellStyle name="Currency 2 2 8 2 6" xfId="11318"/>
    <cellStyle name="Currency 2 2 8 2 6 2" xfId="11319"/>
    <cellStyle name="Currency 2 2 8 2 7" xfId="11320"/>
    <cellStyle name="Currency 2 2 8 2 7 2" xfId="36355"/>
    <cellStyle name="Currency 2 2 8 2 8" xfId="11321"/>
    <cellStyle name="Currency 2 2 8 3" xfId="11322"/>
    <cellStyle name="Currency 2 2 8 3 2" xfId="11323"/>
    <cellStyle name="Currency 2 2 8 3 2 2" xfId="11324"/>
    <cellStyle name="Currency 2 2 8 3 2 2 2" xfId="11325"/>
    <cellStyle name="Currency 2 2 8 3 2 2 3" xfId="11326"/>
    <cellStyle name="Currency 2 2 8 3 2 3" xfId="11327"/>
    <cellStyle name="Currency 2 2 8 3 2 3 2" xfId="11328"/>
    <cellStyle name="Currency 2 2 8 3 2 4" xfId="11329"/>
    <cellStyle name="Currency 2 2 8 3 3" xfId="11330"/>
    <cellStyle name="Currency 2 2 8 3 3 2" xfId="11331"/>
    <cellStyle name="Currency 2 2 8 3 3 2 2" xfId="11332"/>
    <cellStyle name="Currency 2 2 8 3 3 3" xfId="11333"/>
    <cellStyle name="Currency 2 2 8 3 4" xfId="11334"/>
    <cellStyle name="Currency 2 2 8 3 4 2" xfId="11335"/>
    <cellStyle name="Currency 2 2 8 3 4 3" xfId="11336"/>
    <cellStyle name="Currency 2 2 8 3 5" xfId="11337"/>
    <cellStyle name="Currency 2 2 8 3 5 2" xfId="11338"/>
    <cellStyle name="Currency 2 2 8 3 6" xfId="11339"/>
    <cellStyle name="Currency 2 2 8 3 6 2" xfId="36356"/>
    <cellStyle name="Currency 2 2 8 3 7" xfId="11340"/>
    <cellStyle name="Currency 2 2 8 4" xfId="11341"/>
    <cellStyle name="Currency 2 2 8 4 2" xfId="11342"/>
    <cellStyle name="Currency 2 2 8 4 2 2" xfId="11343"/>
    <cellStyle name="Currency 2 2 8 4 2 2 2" xfId="11344"/>
    <cellStyle name="Currency 2 2 8 4 2 3" xfId="11345"/>
    <cellStyle name="Currency 2 2 8 4 3" xfId="11346"/>
    <cellStyle name="Currency 2 2 8 4 3 2" xfId="11347"/>
    <cellStyle name="Currency 2 2 8 4 4" xfId="11348"/>
    <cellStyle name="Currency 2 2 8 5" xfId="11349"/>
    <cellStyle name="Currency 2 2 8 5 2" xfId="11350"/>
    <cellStyle name="Currency 2 2 8 5 2 2" xfId="11351"/>
    <cellStyle name="Currency 2 2 8 5 3" xfId="11352"/>
    <cellStyle name="Currency 2 2 8 6" xfId="11353"/>
    <cellStyle name="Currency 2 2 8 6 2" xfId="11354"/>
    <cellStyle name="Currency 2 2 8 6 2 2" xfId="11355"/>
    <cellStyle name="Currency 2 2 8 6 3" xfId="11356"/>
    <cellStyle name="Currency 2 2 8 7" xfId="11357"/>
    <cellStyle name="Currency 2 2 8 7 2" xfId="11358"/>
    <cellStyle name="Currency 2 2 8 8" xfId="11359"/>
    <cellStyle name="Currency 2 2 8 8 2" xfId="36357"/>
    <cellStyle name="Currency 2 2 8 9" xfId="11360"/>
    <cellStyle name="Currency 2 2 9" xfId="11361"/>
    <cellStyle name="Currency 2 2 9 2" xfId="11362"/>
    <cellStyle name="Currency 2 2 9 2 2" xfId="11363"/>
    <cellStyle name="Currency 2 2 9 2 2 2" xfId="11364"/>
    <cellStyle name="Currency 2 2 9 2 2 2 2" xfId="11365"/>
    <cellStyle name="Currency 2 2 9 2 2 2 3" xfId="11366"/>
    <cellStyle name="Currency 2 2 9 2 2 3" xfId="11367"/>
    <cellStyle name="Currency 2 2 9 2 2 3 2" xfId="11368"/>
    <cellStyle name="Currency 2 2 9 2 2 4" xfId="11369"/>
    <cellStyle name="Currency 2 2 9 2 3" xfId="11370"/>
    <cellStyle name="Currency 2 2 9 2 3 2" xfId="11371"/>
    <cellStyle name="Currency 2 2 9 2 3 2 2" xfId="11372"/>
    <cellStyle name="Currency 2 2 9 2 3 3" xfId="11373"/>
    <cellStyle name="Currency 2 2 9 2 4" xfId="11374"/>
    <cellStyle name="Currency 2 2 9 2 4 2" xfId="11375"/>
    <cellStyle name="Currency 2 2 9 2 4 3" xfId="11376"/>
    <cellStyle name="Currency 2 2 9 2 5" xfId="11377"/>
    <cellStyle name="Currency 2 2 9 2 5 2" xfId="11378"/>
    <cellStyle name="Currency 2 2 9 2 6" xfId="11379"/>
    <cellStyle name="Currency 2 2 9 2 6 2" xfId="36358"/>
    <cellStyle name="Currency 2 2 9 2 7" xfId="11380"/>
    <cellStyle name="Currency 2 2 9 3" xfId="11381"/>
    <cellStyle name="Currency 2 2 9 3 2" xfId="11382"/>
    <cellStyle name="Currency 2 2 9 3 2 2" xfId="11383"/>
    <cellStyle name="Currency 2 2 9 3 2 2 2" xfId="11384"/>
    <cellStyle name="Currency 2 2 9 3 2 3" xfId="11385"/>
    <cellStyle name="Currency 2 2 9 3 3" xfId="11386"/>
    <cellStyle name="Currency 2 2 9 3 3 2" xfId="11387"/>
    <cellStyle name="Currency 2 2 9 3 4" xfId="11388"/>
    <cellStyle name="Currency 2 2 9 4" xfId="11389"/>
    <cellStyle name="Currency 2 2 9 4 2" xfId="11390"/>
    <cellStyle name="Currency 2 2 9 4 2 2" xfId="11391"/>
    <cellStyle name="Currency 2 2 9 4 3" xfId="11392"/>
    <cellStyle name="Currency 2 2 9 5" xfId="11393"/>
    <cellStyle name="Currency 2 2 9 5 2" xfId="11394"/>
    <cellStyle name="Currency 2 2 9 5 2 2" xfId="11395"/>
    <cellStyle name="Currency 2 2 9 5 3" xfId="11396"/>
    <cellStyle name="Currency 2 2 9 6" xfId="11397"/>
    <cellStyle name="Currency 2 2 9 6 2" xfId="11398"/>
    <cellStyle name="Currency 2 2 9 7" xfId="11399"/>
    <cellStyle name="Currency 2 2 9 7 2" xfId="36359"/>
    <cellStyle name="Currency 2 2 9 8" xfId="11400"/>
    <cellStyle name="Currency 2 3" xfId="11401"/>
    <cellStyle name="Currency 2 3 10" xfId="11402"/>
    <cellStyle name="Currency 2 3 10 2" xfId="11403"/>
    <cellStyle name="Currency 2 3 10 2 2" xfId="11404"/>
    <cellStyle name="Currency 2 3 10 3" xfId="11405"/>
    <cellStyle name="Currency 2 3 11" xfId="11406"/>
    <cellStyle name="Currency 2 3 11 2" xfId="11407"/>
    <cellStyle name="Currency 2 3 11 2 2" xfId="11408"/>
    <cellStyle name="Currency 2 3 11 3" xfId="11409"/>
    <cellStyle name="Currency 2 3 12" xfId="11410"/>
    <cellStyle name="Currency 2 3 12 2" xfId="11411"/>
    <cellStyle name="Currency 2 3 13" xfId="11412"/>
    <cellStyle name="Currency 2 3 13 2" xfId="36360"/>
    <cellStyle name="Currency 2 3 14" xfId="11413"/>
    <cellStyle name="Currency 2 3 2" xfId="11414"/>
    <cellStyle name="Currency 2 3 2 10" xfId="11415"/>
    <cellStyle name="Currency 2 3 2 2" xfId="11416"/>
    <cellStyle name="Currency 2 3 2 2 2" xfId="11417"/>
    <cellStyle name="Currency 2 3 2 2 2 2" xfId="11418"/>
    <cellStyle name="Currency 2 3 2 2 2 2 2" xfId="11419"/>
    <cellStyle name="Currency 2 3 2 2 2 2 2 2" xfId="11420"/>
    <cellStyle name="Currency 2 3 2 2 2 2 2 2 2" xfId="11421"/>
    <cellStyle name="Currency 2 3 2 2 2 2 2 2 3" xfId="11422"/>
    <cellStyle name="Currency 2 3 2 2 2 2 2 3" xfId="11423"/>
    <cellStyle name="Currency 2 3 2 2 2 2 2 3 2" xfId="11424"/>
    <cellStyle name="Currency 2 3 2 2 2 2 2 4" xfId="11425"/>
    <cellStyle name="Currency 2 3 2 2 2 2 3" xfId="11426"/>
    <cellStyle name="Currency 2 3 2 2 2 2 3 2" xfId="11427"/>
    <cellStyle name="Currency 2 3 2 2 2 2 3 2 2" xfId="11428"/>
    <cellStyle name="Currency 2 3 2 2 2 2 3 3" xfId="11429"/>
    <cellStyle name="Currency 2 3 2 2 2 2 4" xfId="11430"/>
    <cellStyle name="Currency 2 3 2 2 2 2 4 2" xfId="11431"/>
    <cellStyle name="Currency 2 3 2 2 2 2 4 3" xfId="11432"/>
    <cellStyle name="Currency 2 3 2 2 2 2 5" xfId="11433"/>
    <cellStyle name="Currency 2 3 2 2 2 2 5 2" xfId="11434"/>
    <cellStyle name="Currency 2 3 2 2 2 2 6" xfId="11435"/>
    <cellStyle name="Currency 2 3 2 2 2 2 6 2" xfId="36361"/>
    <cellStyle name="Currency 2 3 2 2 2 2 7" xfId="11436"/>
    <cellStyle name="Currency 2 3 2 2 2 3" xfId="11437"/>
    <cellStyle name="Currency 2 3 2 2 2 3 2" xfId="11438"/>
    <cellStyle name="Currency 2 3 2 2 2 3 2 2" xfId="11439"/>
    <cellStyle name="Currency 2 3 2 2 2 3 2 2 2" xfId="11440"/>
    <cellStyle name="Currency 2 3 2 2 2 3 2 3" xfId="11441"/>
    <cellStyle name="Currency 2 3 2 2 2 3 3" xfId="11442"/>
    <cellStyle name="Currency 2 3 2 2 2 3 3 2" xfId="11443"/>
    <cellStyle name="Currency 2 3 2 2 2 3 4" xfId="11444"/>
    <cellStyle name="Currency 2 3 2 2 2 4" xfId="11445"/>
    <cellStyle name="Currency 2 3 2 2 2 4 2" xfId="11446"/>
    <cellStyle name="Currency 2 3 2 2 2 4 2 2" xfId="11447"/>
    <cellStyle name="Currency 2 3 2 2 2 4 3" xfId="11448"/>
    <cellStyle name="Currency 2 3 2 2 2 5" xfId="11449"/>
    <cellStyle name="Currency 2 3 2 2 2 5 2" xfId="11450"/>
    <cellStyle name="Currency 2 3 2 2 2 5 2 2" xfId="11451"/>
    <cellStyle name="Currency 2 3 2 2 2 5 3" xfId="11452"/>
    <cellStyle name="Currency 2 3 2 2 2 6" xfId="11453"/>
    <cellStyle name="Currency 2 3 2 2 2 6 2" xfId="11454"/>
    <cellStyle name="Currency 2 3 2 2 2 7" xfId="11455"/>
    <cellStyle name="Currency 2 3 2 2 2 7 2" xfId="36362"/>
    <cellStyle name="Currency 2 3 2 2 2 8" xfId="11456"/>
    <cellStyle name="Currency 2 3 2 2 3" xfId="11457"/>
    <cellStyle name="Currency 2 3 2 2 3 2" xfId="11458"/>
    <cellStyle name="Currency 2 3 2 2 3 2 2" xfId="11459"/>
    <cellStyle name="Currency 2 3 2 2 3 2 2 2" xfId="11460"/>
    <cellStyle name="Currency 2 3 2 2 3 2 2 3" xfId="11461"/>
    <cellStyle name="Currency 2 3 2 2 3 2 3" xfId="11462"/>
    <cellStyle name="Currency 2 3 2 2 3 2 3 2" xfId="11463"/>
    <cellStyle name="Currency 2 3 2 2 3 2 4" xfId="11464"/>
    <cellStyle name="Currency 2 3 2 2 3 3" xfId="11465"/>
    <cellStyle name="Currency 2 3 2 2 3 3 2" xfId="11466"/>
    <cellStyle name="Currency 2 3 2 2 3 3 2 2" xfId="11467"/>
    <cellStyle name="Currency 2 3 2 2 3 3 3" xfId="11468"/>
    <cellStyle name="Currency 2 3 2 2 3 4" xfId="11469"/>
    <cellStyle name="Currency 2 3 2 2 3 4 2" xfId="11470"/>
    <cellStyle name="Currency 2 3 2 2 3 4 3" xfId="11471"/>
    <cellStyle name="Currency 2 3 2 2 3 5" xfId="11472"/>
    <cellStyle name="Currency 2 3 2 2 3 5 2" xfId="11473"/>
    <cellStyle name="Currency 2 3 2 2 3 6" xfId="11474"/>
    <cellStyle name="Currency 2 3 2 2 3 6 2" xfId="36363"/>
    <cellStyle name="Currency 2 3 2 2 3 7" xfId="11475"/>
    <cellStyle name="Currency 2 3 2 2 4" xfId="11476"/>
    <cellStyle name="Currency 2 3 2 2 4 2" xfId="11477"/>
    <cellStyle name="Currency 2 3 2 2 4 2 2" xfId="11478"/>
    <cellStyle name="Currency 2 3 2 2 4 2 2 2" xfId="11479"/>
    <cellStyle name="Currency 2 3 2 2 4 2 3" xfId="11480"/>
    <cellStyle name="Currency 2 3 2 2 4 3" xfId="11481"/>
    <cellStyle name="Currency 2 3 2 2 4 3 2" xfId="11482"/>
    <cellStyle name="Currency 2 3 2 2 4 4" xfId="11483"/>
    <cellStyle name="Currency 2 3 2 2 5" xfId="11484"/>
    <cellStyle name="Currency 2 3 2 2 5 2" xfId="11485"/>
    <cellStyle name="Currency 2 3 2 2 5 2 2" xfId="11486"/>
    <cellStyle name="Currency 2 3 2 2 5 3" xfId="11487"/>
    <cellStyle name="Currency 2 3 2 2 6" xfId="11488"/>
    <cellStyle name="Currency 2 3 2 2 6 2" xfId="11489"/>
    <cellStyle name="Currency 2 3 2 2 6 2 2" xfId="11490"/>
    <cellStyle name="Currency 2 3 2 2 6 3" xfId="11491"/>
    <cellStyle name="Currency 2 3 2 2 7" xfId="11492"/>
    <cellStyle name="Currency 2 3 2 2 7 2" xfId="11493"/>
    <cellStyle name="Currency 2 3 2 2 8" xfId="11494"/>
    <cellStyle name="Currency 2 3 2 2 8 2" xfId="36364"/>
    <cellStyle name="Currency 2 3 2 2 9" xfId="11495"/>
    <cellStyle name="Currency 2 3 2 3" xfId="11496"/>
    <cellStyle name="Currency 2 3 2 3 2" xfId="11497"/>
    <cellStyle name="Currency 2 3 2 3 2 2" xfId="11498"/>
    <cellStyle name="Currency 2 3 2 3 2 2 2" xfId="11499"/>
    <cellStyle name="Currency 2 3 2 3 2 2 2 2" xfId="11500"/>
    <cellStyle name="Currency 2 3 2 3 2 2 2 3" xfId="11501"/>
    <cellStyle name="Currency 2 3 2 3 2 2 3" xfId="11502"/>
    <cellStyle name="Currency 2 3 2 3 2 2 3 2" xfId="11503"/>
    <cellStyle name="Currency 2 3 2 3 2 2 4" xfId="11504"/>
    <cellStyle name="Currency 2 3 2 3 2 3" xfId="11505"/>
    <cellStyle name="Currency 2 3 2 3 2 3 2" xfId="11506"/>
    <cellStyle name="Currency 2 3 2 3 2 3 2 2" xfId="11507"/>
    <cellStyle name="Currency 2 3 2 3 2 3 3" xfId="11508"/>
    <cellStyle name="Currency 2 3 2 3 2 4" xfId="11509"/>
    <cellStyle name="Currency 2 3 2 3 2 4 2" xfId="11510"/>
    <cellStyle name="Currency 2 3 2 3 2 4 3" xfId="11511"/>
    <cellStyle name="Currency 2 3 2 3 2 5" xfId="11512"/>
    <cellStyle name="Currency 2 3 2 3 2 5 2" xfId="11513"/>
    <cellStyle name="Currency 2 3 2 3 2 6" xfId="11514"/>
    <cellStyle name="Currency 2 3 2 3 2 6 2" xfId="36365"/>
    <cellStyle name="Currency 2 3 2 3 2 7" xfId="11515"/>
    <cellStyle name="Currency 2 3 2 3 3" xfId="11516"/>
    <cellStyle name="Currency 2 3 2 3 3 2" xfId="11517"/>
    <cellStyle name="Currency 2 3 2 3 3 2 2" xfId="11518"/>
    <cellStyle name="Currency 2 3 2 3 3 2 2 2" xfId="11519"/>
    <cellStyle name="Currency 2 3 2 3 3 2 3" xfId="11520"/>
    <cellStyle name="Currency 2 3 2 3 3 3" xfId="11521"/>
    <cellStyle name="Currency 2 3 2 3 3 3 2" xfId="11522"/>
    <cellStyle name="Currency 2 3 2 3 3 4" xfId="11523"/>
    <cellStyle name="Currency 2 3 2 3 4" xfId="11524"/>
    <cellStyle name="Currency 2 3 2 3 4 2" xfId="11525"/>
    <cellStyle name="Currency 2 3 2 3 4 2 2" xfId="11526"/>
    <cellStyle name="Currency 2 3 2 3 4 3" xfId="11527"/>
    <cellStyle name="Currency 2 3 2 3 5" xfId="11528"/>
    <cellStyle name="Currency 2 3 2 3 5 2" xfId="11529"/>
    <cellStyle name="Currency 2 3 2 3 5 2 2" xfId="11530"/>
    <cellStyle name="Currency 2 3 2 3 5 3" xfId="11531"/>
    <cellStyle name="Currency 2 3 2 3 6" xfId="11532"/>
    <cellStyle name="Currency 2 3 2 3 6 2" xfId="11533"/>
    <cellStyle name="Currency 2 3 2 3 7" xfId="11534"/>
    <cellStyle name="Currency 2 3 2 3 7 2" xfId="36366"/>
    <cellStyle name="Currency 2 3 2 3 8" xfId="11535"/>
    <cellStyle name="Currency 2 3 2 4" xfId="11536"/>
    <cellStyle name="Currency 2 3 2 4 2" xfId="11537"/>
    <cellStyle name="Currency 2 3 2 4 2 2" xfId="11538"/>
    <cellStyle name="Currency 2 3 2 4 2 2 2" xfId="11539"/>
    <cellStyle name="Currency 2 3 2 4 2 2 3" xfId="11540"/>
    <cellStyle name="Currency 2 3 2 4 2 3" xfId="11541"/>
    <cellStyle name="Currency 2 3 2 4 2 3 2" xfId="11542"/>
    <cellStyle name="Currency 2 3 2 4 2 4" xfId="11543"/>
    <cellStyle name="Currency 2 3 2 4 3" xfId="11544"/>
    <cellStyle name="Currency 2 3 2 4 3 2" xfId="11545"/>
    <cellStyle name="Currency 2 3 2 4 3 2 2" xfId="11546"/>
    <cellStyle name="Currency 2 3 2 4 3 3" xfId="11547"/>
    <cellStyle name="Currency 2 3 2 4 4" xfId="11548"/>
    <cellStyle name="Currency 2 3 2 4 4 2" xfId="11549"/>
    <cellStyle name="Currency 2 3 2 4 4 3" xfId="11550"/>
    <cellStyle name="Currency 2 3 2 4 5" xfId="11551"/>
    <cellStyle name="Currency 2 3 2 4 5 2" xfId="11552"/>
    <cellStyle name="Currency 2 3 2 4 6" xfId="11553"/>
    <cellStyle name="Currency 2 3 2 4 6 2" xfId="36367"/>
    <cellStyle name="Currency 2 3 2 4 7" xfId="11554"/>
    <cellStyle name="Currency 2 3 2 5" xfId="11555"/>
    <cellStyle name="Currency 2 3 2 5 2" xfId="11556"/>
    <cellStyle name="Currency 2 3 2 5 2 2" xfId="11557"/>
    <cellStyle name="Currency 2 3 2 5 2 2 2" xfId="11558"/>
    <cellStyle name="Currency 2 3 2 5 2 3" xfId="11559"/>
    <cellStyle name="Currency 2 3 2 5 3" xfId="11560"/>
    <cellStyle name="Currency 2 3 2 5 3 2" xfId="11561"/>
    <cellStyle name="Currency 2 3 2 5 4" xfId="11562"/>
    <cellStyle name="Currency 2 3 2 6" xfId="11563"/>
    <cellStyle name="Currency 2 3 2 6 2" xfId="11564"/>
    <cellStyle name="Currency 2 3 2 6 2 2" xfId="11565"/>
    <cellStyle name="Currency 2 3 2 6 3" xfId="11566"/>
    <cellStyle name="Currency 2 3 2 7" xfId="11567"/>
    <cellStyle name="Currency 2 3 2 7 2" xfId="11568"/>
    <cellStyle name="Currency 2 3 2 7 2 2" xfId="11569"/>
    <cellStyle name="Currency 2 3 2 7 3" xfId="11570"/>
    <cellStyle name="Currency 2 3 2 8" xfId="11571"/>
    <cellStyle name="Currency 2 3 2 8 2" xfId="11572"/>
    <cellStyle name="Currency 2 3 2 9" xfId="11573"/>
    <cellStyle name="Currency 2 3 2 9 2" xfId="36368"/>
    <cellStyle name="Currency 2 3 3" xfId="11574"/>
    <cellStyle name="Currency 2 3 3 2" xfId="11575"/>
    <cellStyle name="Currency 2 3 3 2 2" xfId="11576"/>
    <cellStyle name="Currency 2 3 3 2 2 2" xfId="11577"/>
    <cellStyle name="Currency 2 3 3 2 2 2 2" xfId="11578"/>
    <cellStyle name="Currency 2 3 3 2 2 2 2 2" xfId="11579"/>
    <cellStyle name="Currency 2 3 3 2 2 2 2 3" xfId="11580"/>
    <cellStyle name="Currency 2 3 3 2 2 2 3" xfId="11581"/>
    <cellStyle name="Currency 2 3 3 2 2 2 3 2" xfId="11582"/>
    <cellStyle name="Currency 2 3 3 2 2 2 4" xfId="11583"/>
    <cellStyle name="Currency 2 3 3 2 2 3" xfId="11584"/>
    <cellStyle name="Currency 2 3 3 2 2 3 2" xfId="11585"/>
    <cellStyle name="Currency 2 3 3 2 2 3 2 2" xfId="11586"/>
    <cellStyle name="Currency 2 3 3 2 2 3 3" xfId="11587"/>
    <cellStyle name="Currency 2 3 3 2 2 4" xfId="11588"/>
    <cellStyle name="Currency 2 3 3 2 2 4 2" xfId="11589"/>
    <cellStyle name="Currency 2 3 3 2 2 4 3" xfId="11590"/>
    <cellStyle name="Currency 2 3 3 2 2 5" xfId="11591"/>
    <cellStyle name="Currency 2 3 3 2 2 5 2" xfId="11592"/>
    <cellStyle name="Currency 2 3 3 2 2 6" xfId="11593"/>
    <cellStyle name="Currency 2 3 3 2 2 6 2" xfId="36369"/>
    <cellStyle name="Currency 2 3 3 2 2 7" xfId="11594"/>
    <cellStyle name="Currency 2 3 3 2 3" xfId="11595"/>
    <cellStyle name="Currency 2 3 3 2 3 2" xfId="11596"/>
    <cellStyle name="Currency 2 3 3 2 3 2 2" xfId="11597"/>
    <cellStyle name="Currency 2 3 3 2 3 2 2 2" xfId="11598"/>
    <cellStyle name="Currency 2 3 3 2 3 2 3" xfId="11599"/>
    <cellStyle name="Currency 2 3 3 2 3 3" xfId="11600"/>
    <cellStyle name="Currency 2 3 3 2 3 3 2" xfId="11601"/>
    <cellStyle name="Currency 2 3 3 2 3 4" xfId="11602"/>
    <cellStyle name="Currency 2 3 3 2 4" xfId="11603"/>
    <cellStyle name="Currency 2 3 3 2 4 2" xfId="11604"/>
    <cellStyle name="Currency 2 3 3 2 4 2 2" xfId="11605"/>
    <cellStyle name="Currency 2 3 3 2 4 3" xfId="11606"/>
    <cellStyle name="Currency 2 3 3 2 5" xfId="11607"/>
    <cellStyle name="Currency 2 3 3 2 5 2" xfId="11608"/>
    <cellStyle name="Currency 2 3 3 2 5 2 2" xfId="11609"/>
    <cellStyle name="Currency 2 3 3 2 5 3" xfId="11610"/>
    <cellStyle name="Currency 2 3 3 2 6" xfId="11611"/>
    <cellStyle name="Currency 2 3 3 2 6 2" xfId="11612"/>
    <cellStyle name="Currency 2 3 3 2 7" xfId="11613"/>
    <cellStyle name="Currency 2 3 3 2 7 2" xfId="36370"/>
    <cellStyle name="Currency 2 3 3 2 8" xfId="11614"/>
    <cellStyle name="Currency 2 3 3 3" xfId="11615"/>
    <cellStyle name="Currency 2 3 3 3 2" xfId="11616"/>
    <cellStyle name="Currency 2 3 3 3 2 2" xfId="11617"/>
    <cellStyle name="Currency 2 3 3 3 2 2 2" xfId="11618"/>
    <cellStyle name="Currency 2 3 3 3 2 2 3" xfId="11619"/>
    <cellStyle name="Currency 2 3 3 3 2 3" xfId="11620"/>
    <cellStyle name="Currency 2 3 3 3 2 3 2" xfId="11621"/>
    <cellStyle name="Currency 2 3 3 3 2 4" xfId="11622"/>
    <cellStyle name="Currency 2 3 3 3 3" xfId="11623"/>
    <cellStyle name="Currency 2 3 3 3 3 2" xfId="11624"/>
    <cellStyle name="Currency 2 3 3 3 3 2 2" xfId="11625"/>
    <cellStyle name="Currency 2 3 3 3 3 3" xfId="11626"/>
    <cellStyle name="Currency 2 3 3 3 4" xfId="11627"/>
    <cellStyle name="Currency 2 3 3 3 4 2" xfId="11628"/>
    <cellStyle name="Currency 2 3 3 3 4 3" xfId="11629"/>
    <cellStyle name="Currency 2 3 3 3 5" xfId="11630"/>
    <cellStyle name="Currency 2 3 3 3 5 2" xfId="11631"/>
    <cellStyle name="Currency 2 3 3 3 6" xfId="11632"/>
    <cellStyle name="Currency 2 3 3 3 6 2" xfId="36371"/>
    <cellStyle name="Currency 2 3 3 3 7" xfId="11633"/>
    <cellStyle name="Currency 2 3 3 4" xfId="11634"/>
    <cellStyle name="Currency 2 3 3 4 2" xfId="11635"/>
    <cellStyle name="Currency 2 3 3 4 2 2" xfId="11636"/>
    <cellStyle name="Currency 2 3 3 4 2 2 2" xfId="11637"/>
    <cellStyle name="Currency 2 3 3 4 2 3" xfId="11638"/>
    <cellStyle name="Currency 2 3 3 4 3" xfId="11639"/>
    <cellStyle name="Currency 2 3 3 4 3 2" xfId="11640"/>
    <cellStyle name="Currency 2 3 3 4 4" xfId="11641"/>
    <cellStyle name="Currency 2 3 3 5" xfId="11642"/>
    <cellStyle name="Currency 2 3 3 5 2" xfId="11643"/>
    <cellStyle name="Currency 2 3 3 5 2 2" xfId="11644"/>
    <cellStyle name="Currency 2 3 3 5 3" xfId="11645"/>
    <cellStyle name="Currency 2 3 3 6" xfId="11646"/>
    <cellStyle name="Currency 2 3 3 6 2" xfId="11647"/>
    <cellStyle name="Currency 2 3 3 6 2 2" xfId="11648"/>
    <cellStyle name="Currency 2 3 3 6 3" xfId="11649"/>
    <cellStyle name="Currency 2 3 3 7" xfId="11650"/>
    <cellStyle name="Currency 2 3 3 7 2" xfId="11651"/>
    <cellStyle name="Currency 2 3 3 8" xfId="11652"/>
    <cellStyle name="Currency 2 3 3 8 2" xfId="36372"/>
    <cellStyle name="Currency 2 3 3 9" xfId="11653"/>
    <cellStyle name="Currency 2 3 4" xfId="11654"/>
    <cellStyle name="Currency 2 3 4 2" xfId="11655"/>
    <cellStyle name="Currency 2 3 4 2 2" xfId="11656"/>
    <cellStyle name="Currency 2 3 4 2 2 2" xfId="11657"/>
    <cellStyle name="Currency 2 3 4 2 2 2 2" xfId="11658"/>
    <cellStyle name="Currency 2 3 4 2 2 2 2 2" xfId="11659"/>
    <cellStyle name="Currency 2 3 4 2 2 2 2 3" xfId="11660"/>
    <cellStyle name="Currency 2 3 4 2 2 2 3" xfId="11661"/>
    <cellStyle name="Currency 2 3 4 2 2 2 3 2" xfId="11662"/>
    <cellStyle name="Currency 2 3 4 2 2 2 4" xfId="11663"/>
    <cellStyle name="Currency 2 3 4 2 2 3" xfId="11664"/>
    <cellStyle name="Currency 2 3 4 2 2 3 2" xfId="11665"/>
    <cellStyle name="Currency 2 3 4 2 2 3 2 2" xfId="11666"/>
    <cellStyle name="Currency 2 3 4 2 2 3 3" xfId="11667"/>
    <cellStyle name="Currency 2 3 4 2 2 4" xfId="11668"/>
    <cellStyle name="Currency 2 3 4 2 2 4 2" xfId="11669"/>
    <cellStyle name="Currency 2 3 4 2 2 4 3" xfId="11670"/>
    <cellStyle name="Currency 2 3 4 2 2 5" xfId="11671"/>
    <cellStyle name="Currency 2 3 4 2 2 5 2" xfId="11672"/>
    <cellStyle name="Currency 2 3 4 2 2 6" xfId="11673"/>
    <cellStyle name="Currency 2 3 4 2 2 6 2" xfId="36373"/>
    <cellStyle name="Currency 2 3 4 2 2 7" xfId="11674"/>
    <cellStyle name="Currency 2 3 4 2 3" xfId="11675"/>
    <cellStyle name="Currency 2 3 4 2 3 2" xfId="11676"/>
    <cellStyle name="Currency 2 3 4 2 3 2 2" xfId="11677"/>
    <cellStyle name="Currency 2 3 4 2 3 2 2 2" xfId="11678"/>
    <cellStyle name="Currency 2 3 4 2 3 2 3" xfId="11679"/>
    <cellStyle name="Currency 2 3 4 2 3 3" xfId="11680"/>
    <cellStyle name="Currency 2 3 4 2 3 3 2" xfId="11681"/>
    <cellStyle name="Currency 2 3 4 2 3 4" xfId="11682"/>
    <cellStyle name="Currency 2 3 4 2 4" xfId="11683"/>
    <cellStyle name="Currency 2 3 4 2 4 2" xfId="11684"/>
    <cellStyle name="Currency 2 3 4 2 4 2 2" xfId="11685"/>
    <cellStyle name="Currency 2 3 4 2 4 3" xfId="11686"/>
    <cellStyle name="Currency 2 3 4 2 5" xfId="11687"/>
    <cellStyle name="Currency 2 3 4 2 5 2" xfId="11688"/>
    <cellStyle name="Currency 2 3 4 2 5 2 2" xfId="11689"/>
    <cellStyle name="Currency 2 3 4 2 5 3" xfId="11690"/>
    <cellStyle name="Currency 2 3 4 2 6" xfId="11691"/>
    <cellStyle name="Currency 2 3 4 2 6 2" xfId="11692"/>
    <cellStyle name="Currency 2 3 4 2 7" xfId="11693"/>
    <cellStyle name="Currency 2 3 4 2 7 2" xfId="36374"/>
    <cellStyle name="Currency 2 3 4 2 8" xfId="11694"/>
    <cellStyle name="Currency 2 3 4 3" xfId="11695"/>
    <cellStyle name="Currency 2 3 4 3 2" xfId="11696"/>
    <cellStyle name="Currency 2 3 4 3 2 2" xfId="11697"/>
    <cellStyle name="Currency 2 3 4 3 2 2 2" xfId="11698"/>
    <cellStyle name="Currency 2 3 4 3 2 2 3" xfId="11699"/>
    <cellStyle name="Currency 2 3 4 3 2 3" xfId="11700"/>
    <cellStyle name="Currency 2 3 4 3 2 3 2" xfId="11701"/>
    <cellStyle name="Currency 2 3 4 3 2 4" xfId="11702"/>
    <cellStyle name="Currency 2 3 4 3 3" xfId="11703"/>
    <cellStyle name="Currency 2 3 4 3 3 2" xfId="11704"/>
    <cellStyle name="Currency 2 3 4 3 3 2 2" xfId="11705"/>
    <cellStyle name="Currency 2 3 4 3 3 3" xfId="11706"/>
    <cellStyle name="Currency 2 3 4 3 4" xfId="11707"/>
    <cellStyle name="Currency 2 3 4 3 4 2" xfId="11708"/>
    <cellStyle name="Currency 2 3 4 3 4 3" xfId="11709"/>
    <cellStyle name="Currency 2 3 4 3 5" xfId="11710"/>
    <cellStyle name="Currency 2 3 4 3 5 2" xfId="11711"/>
    <cellStyle name="Currency 2 3 4 3 6" xfId="11712"/>
    <cellStyle name="Currency 2 3 4 3 6 2" xfId="36375"/>
    <cellStyle name="Currency 2 3 4 3 7" xfId="11713"/>
    <cellStyle name="Currency 2 3 4 4" xfId="11714"/>
    <cellStyle name="Currency 2 3 4 4 2" xfId="11715"/>
    <cellStyle name="Currency 2 3 4 4 2 2" xfId="11716"/>
    <cellStyle name="Currency 2 3 4 4 2 2 2" xfId="11717"/>
    <cellStyle name="Currency 2 3 4 4 2 3" xfId="11718"/>
    <cellStyle name="Currency 2 3 4 4 3" xfId="11719"/>
    <cellStyle name="Currency 2 3 4 4 3 2" xfId="11720"/>
    <cellStyle name="Currency 2 3 4 4 4" xfId="11721"/>
    <cellStyle name="Currency 2 3 4 5" xfId="11722"/>
    <cellStyle name="Currency 2 3 4 5 2" xfId="11723"/>
    <cellStyle name="Currency 2 3 4 5 2 2" xfId="11724"/>
    <cellStyle name="Currency 2 3 4 5 3" xfId="11725"/>
    <cellStyle name="Currency 2 3 4 6" xfId="11726"/>
    <cellStyle name="Currency 2 3 4 6 2" xfId="11727"/>
    <cellStyle name="Currency 2 3 4 6 2 2" xfId="11728"/>
    <cellStyle name="Currency 2 3 4 6 3" xfId="11729"/>
    <cellStyle name="Currency 2 3 4 7" xfId="11730"/>
    <cellStyle name="Currency 2 3 4 7 2" xfId="11731"/>
    <cellStyle name="Currency 2 3 4 8" xfId="11732"/>
    <cellStyle name="Currency 2 3 4 8 2" xfId="36376"/>
    <cellStyle name="Currency 2 3 4 9" xfId="11733"/>
    <cellStyle name="Currency 2 3 5" xfId="11734"/>
    <cellStyle name="Currency 2 3 5 2" xfId="11735"/>
    <cellStyle name="Currency 2 3 5 2 2" xfId="11736"/>
    <cellStyle name="Currency 2 3 5 2 2 2" xfId="11737"/>
    <cellStyle name="Currency 2 3 5 2 2 2 2" xfId="11738"/>
    <cellStyle name="Currency 2 3 5 2 2 2 3" xfId="11739"/>
    <cellStyle name="Currency 2 3 5 2 2 3" xfId="11740"/>
    <cellStyle name="Currency 2 3 5 2 2 3 2" xfId="11741"/>
    <cellStyle name="Currency 2 3 5 2 2 4" xfId="11742"/>
    <cellStyle name="Currency 2 3 5 2 3" xfId="11743"/>
    <cellStyle name="Currency 2 3 5 2 3 2" xfId="11744"/>
    <cellStyle name="Currency 2 3 5 2 3 2 2" xfId="11745"/>
    <cellStyle name="Currency 2 3 5 2 3 3" xfId="11746"/>
    <cellStyle name="Currency 2 3 5 2 4" xfId="11747"/>
    <cellStyle name="Currency 2 3 5 2 4 2" xfId="11748"/>
    <cellStyle name="Currency 2 3 5 2 4 3" xfId="11749"/>
    <cellStyle name="Currency 2 3 5 2 5" xfId="11750"/>
    <cellStyle name="Currency 2 3 5 2 5 2" xfId="11751"/>
    <cellStyle name="Currency 2 3 5 2 6" xfId="11752"/>
    <cellStyle name="Currency 2 3 5 2 6 2" xfId="36377"/>
    <cellStyle name="Currency 2 3 5 2 7" xfId="11753"/>
    <cellStyle name="Currency 2 3 5 3" xfId="11754"/>
    <cellStyle name="Currency 2 3 5 3 2" xfId="11755"/>
    <cellStyle name="Currency 2 3 5 3 2 2" xfId="11756"/>
    <cellStyle name="Currency 2 3 5 3 2 2 2" xfId="11757"/>
    <cellStyle name="Currency 2 3 5 3 2 3" xfId="11758"/>
    <cellStyle name="Currency 2 3 5 3 3" xfId="11759"/>
    <cellStyle name="Currency 2 3 5 3 3 2" xfId="11760"/>
    <cellStyle name="Currency 2 3 5 3 4" xfId="11761"/>
    <cellStyle name="Currency 2 3 5 4" xfId="11762"/>
    <cellStyle name="Currency 2 3 5 4 2" xfId="11763"/>
    <cellStyle name="Currency 2 3 5 4 2 2" xfId="11764"/>
    <cellStyle name="Currency 2 3 5 4 3" xfId="11765"/>
    <cellStyle name="Currency 2 3 5 5" xfId="11766"/>
    <cellStyle name="Currency 2 3 5 5 2" xfId="11767"/>
    <cellStyle name="Currency 2 3 5 5 2 2" xfId="11768"/>
    <cellStyle name="Currency 2 3 5 5 3" xfId="11769"/>
    <cellStyle name="Currency 2 3 5 6" xfId="11770"/>
    <cellStyle name="Currency 2 3 5 6 2" xfId="11771"/>
    <cellStyle name="Currency 2 3 5 7" xfId="11772"/>
    <cellStyle name="Currency 2 3 5 7 2" xfId="36378"/>
    <cellStyle name="Currency 2 3 5 8" xfId="11773"/>
    <cellStyle name="Currency 2 3 6" xfId="11774"/>
    <cellStyle name="Currency 2 3 6 2" xfId="11775"/>
    <cellStyle name="Currency 2 3 6 2 2" xfId="11776"/>
    <cellStyle name="Currency 2 3 6 2 2 2" xfId="11777"/>
    <cellStyle name="Currency 2 3 6 2 2 2 2" xfId="11778"/>
    <cellStyle name="Currency 2 3 6 2 2 2 3" xfId="11779"/>
    <cellStyle name="Currency 2 3 6 2 2 3" xfId="11780"/>
    <cellStyle name="Currency 2 3 6 2 2 3 2" xfId="11781"/>
    <cellStyle name="Currency 2 3 6 2 2 4" xfId="11782"/>
    <cellStyle name="Currency 2 3 6 2 3" xfId="11783"/>
    <cellStyle name="Currency 2 3 6 2 3 2" xfId="11784"/>
    <cellStyle name="Currency 2 3 6 2 3 2 2" xfId="11785"/>
    <cellStyle name="Currency 2 3 6 2 3 3" xfId="11786"/>
    <cellStyle name="Currency 2 3 6 2 4" xfId="11787"/>
    <cellStyle name="Currency 2 3 6 2 4 2" xfId="11788"/>
    <cellStyle name="Currency 2 3 6 2 4 3" xfId="11789"/>
    <cellStyle name="Currency 2 3 6 2 5" xfId="11790"/>
    <cellStyle name="Currency 2 3 6 2 5 2" xfId="11791"/>
    <cellStyle name="Currency 2 3 6 2 6" xfId="11792"/>
    <cellStyle name="Currency 2 3 6 2 6 2" xfId="36379"/>
    <cellStyle name="Currency 2 3 6 2 7" xfId="11793"/>
    <cellStyle name="Currency 2 3 6 3" xfId="11794"/>
    <cellStyle name="Currency 2 3 6 3 2" xfId="11795"/>
    <cellStyle name="Currency 2 3 6 3 2 2" xfId="11796"/>
    <cellStyle name="Currency 2 3 6 3 2 2 2" xfId="11797"/>
    <cellStyle name="Currency 2 3 6 3 2 3" xfId="11798"/>
    <cellStyle name="Currency 2 3 6 3 3" xfId="11799"/>
    <cellStyle name="Currency 2 3 6 3 3 2" xfId="11800"/>
    <cellStyle name="Currency 2 3 6 3 4" xfId="11801"/>
    <cellStyle name="Currency 2 3 6 4" xfId="11802"/>
    <cellStyle name="Currency 2 3 6 4 2" xfId="11803"/>
    <cellStyle name="Currency 2 3 6 4 2 2" xfId="11804"/>
    <cellStyle name="Currency 2 3 6 4 3" xfId="11805"/>
    <cellStyle name="Currency 2 3 6 5" xfId="11806"/>
    <cellStyle name="Currency 2 3 6 5 2" xfId="11807"/>
    <cellStyle name="Currency 2 3 6 5 2 2" xfId="11808"/>
    <cellStyle name="Currency 2 3 6 5 3" xfId="11809"/>
    <cellStyle name="Currency 2 3 6 6" xfId="11810"/>
    <cellStyle name="Currency 2 3 6 6 2" xfId="11811"/>
    <cellStyle name="Currency 2 3 6 7" xfId="11812"/>
    <cellStyle name="Currency 2 3 6 7 2" xfId="36380"/>
    <cellStyle name="Currency 2 3 6 8" xfId="11813"/>
    <cellStyle name="Currency 2 3 7" xfId="11814"/>
    <cellStyle name="Currency 2 3 7 2" xfId="11815"/>
    <cellStyle name="Currency 2 3 7 2 2" xfId="11816"/>
    <cellStyle name="Currency 2 3 7 2 2 2" xfId="11817"/>
    <cellStyle name="Currency 2 3 7 2 2 2 2" xfId="11818"/>
    <cellStyle name="Currency 2 3 7 2 2 2 3" xfId="11819"/>
    <cellStyle name="Currency 2 3 7 2 2 3" xfId="11820"/>
    <cellStyle name="Currency 2 3 7 2 2 3 2" xfId="11821"/>
    <cellStyle name="Currency 2 3 7 2 2 4" xfId="11822"/>
    <cellStyle name="Currency 2 3 7 2 3" xfId="11823"/>
    <cellStyle name="Currency 2 3 7 2 3 2" xfId="11824"/>
    <cellStyle name="Currency 2 3 7 2 3 2 2" xfId="11825"/>
    <cellStyle name="Currency 2 3 7 2 3 3" xfId="11826"/>
    <cellStyle name="Currency 2 3 7 2 4" xfId="11827"/>
    <cellStyle name="Currency 2 3 7 2 4 2" xfId="11828"/>
    <cellStyle name="Currency 2 3 7 2 4 3" xfId="11829"/>
    <cellStyle name="Currency 2 3 7 2 5" xfId="11830"/>
    <cellStyle name="Currency 2 3 7 2 5 2" xfId="11831"/>
    <cellStyle name="Currency 2 3 7 2 6" xfId="11832"/>
    <cellStyle name="Currency 2 3 7 2 6 2" xfId="36381"/>
    <cellStyle name="Currency 2 3 7 2 7" xfId="11833"/>
    <cellStyle name="Currency 2 3 7 3" xfId="11834"/>
    <cellStyle name="Currency 2 3 7 3 2" xfId="11835"/>
    <cellStyle name="Currency 2 3 7 3 2 2" xfId="11836"/>
    <cellStyle name="Currency 2 3 7 3 2 2 2" xfId="11837"/>
    <cellStyle name="Currency 2 3 7 3 2 3" xfId="11838"/>
    <cellStyle name="Currency 2 3 7 3 3" xfId="11839"/>
    <cellStyle name="Currency 2 3 7 3 3 2" xfId="11840"/>
    <cellStyle name="Currency 2 3 7 3 4" xfId="11841"/>
    <cellStyle name="Currency 2 3 7 4" xfId="11842"/>
    <cellStyle name="Currency 2 3 7 4 2" xfId="11843"/>
    <cellStyle name="Currency 2 3 7 4 2 2" xfId="11844"/>
    <cellStyle name="Currency 2 3 7 4 3" xfId="11845"/>
    <cellStyle name="Currency 2 3 7 5" xfId="11846"/>
    <cellStyle name="Currency 2 3 7 5 2" xfId="11847"/>
    <cellStyle name="Currency 2 3 7 5 2 2" xfId="11848"/>
    <cellStyle name="Currency 2 3 7 5 3" xfId="11849"/>
    <cellStyle name="Currency 2 3 7 6" xfId="11850"/>
    <cellStyle name="Currency 2 3 7 6 2" xfId="11851"/>
    <cellStyle name="Currency 2 3 7 7" xfId="11852"/>
    <cellStyle name="Currency 2 3 7 7 2" xfId="36382"/>
    <cellStyle name="Currency 2 3 7 8" xfId="11853"/>
    <cellStyle name="Currency 2 3 8" xfId="11854"/>
    <cellStyle name="Currency 2 3 8 2" xfId="11855"/>
    <cellStyle name="Currency 2 3 8 2 2" xfId="11856"/>
    <cellStyle name="Currency 2 3 8 2 2 2" xfId="11857"/>
    <cellStyle name="Currency 2 3 8 2 2 3" xfId="11858"/>
    <cellStyle name="Currency 2 3 8 2 3" xfId="11859"/>
    <cellStyle name="Currency 2 3 8 2 3 2" xfId="11860"/>
    <cellStyle name="Currency 2 3 8 2 4" xfId="11861"/>
    <cellStyle name="Currency 2 3 8 3" xfId="11862"/>
    <cellStyle name="Currency 2 3 8 3 2" xfId="11863"/>
    <cellStyle name="Currency 2 3 8 3 2 2" xfId="11864"/>
    <cellStyle name="Currency 2 3 8 3 3" xfId="11865"/>
    <cellStyle name="Currency 2 3 8 4" xfId="11866"/>
    <cellStyle name="Currency 2 3 8 4 2" xfId="11867"/>
    <cellStyle name="Currency 2 3 8 4 3" xfId="11868"/>
    <cellStyle name="Currency 2 3 8 5" xfId="11869"/>
    <cellStyle name="Currency 2 3 8 5 2" xfId="11870"/>
    <cellStyle name="Currency 2 3 8 6" xfId="11871"/>
    <cellStyle name="Currency 2 3 8 6 2" xfId="36383"/>
    <cellStyle name="Currency 2 3 8 7" xfId="11872"/>
    <cellStyle name="Currency 2 3 9" xfId="11873"/>
    <cellStyle name="Currency 2 3 9 2" xfId="11874"/>
    <cellStyle name="Currency 2 3 9 2 2" xfId="11875"/>
    <cellStyle name="Currency 2 3 9 2 2 2" xfId="11876"/>
    <cellStyle name="Currency 2 3 9 2 3" xfId="11877"/>
    <cellStyle name="Currency 2 3 9 3" xfId="11878"/>
    <cellStyle name="Currency 2 3 9 3 2" xfId="11879"/>
    <cellStyle name="Currency 2 3 9 4" xfId="11880"/>
    <cellStyle name="Currency 2 4" xfId="11881"/>
    <cellStyle name="Currency 2 4 10" xfId="11882"/>
    <cellStyle name="Currency 2 4 10 2" xfId="11883"/>
    <cellStyle name="Currency 2 4 10 2 2" xfId="11884"/>
    <cellStyle name="Currency 2 4 10 3" xfId="11885"/>
    <cellStyle name="Currency 2 4 11" xfId="11886"/>
    <cellStyle name="Currency 2 4 11 2" xfId="11887"/>
    <cellStyle name="Currency 2 4 11 2 2" xfId="11888"/>
    <cellStyle name="Currency 2 4 11 3" xfId="11889"/>
    <cellStyle name="Currency 2 4 12" xfId="11890"/>
    <cellStyle name="Currency 2 4 12 2" xfId="11891"/>
    <cellStyle name="Currency 2 4 13" xfId="11892"/>
    <cellStyle name="Currency 2 4 13 2" xfId="36384"/>
    <cellStyle name="Currency 2 4 14" xfId="11893"/>
    <cellStyle name="Currency 2 4 2" xfId="11894"/>
    <cellStyle name="Currency 2 4 2 10" xfId="11895"/>
    <cellStyle name="Currency 2 4 2 2" xfId="11896"/>
    <cellStyle name="Currency 2 4 2 2 2" xfId="11897"/>
    <cellStyle name="Currency 2 4 2 2 2 2" xfId="11898"/>
    <cellStyle name="Currency 2 4 2 2 2 2 2" xfId="11899"/>
    <cellStyle name="Currency 2 4 2 2 2 2 2 2" xfId="11900"/>
    <cellStyle name="Currency 2 4 2 2 2 2 2 2 2" xfId="11901"/>
    <cellStyle name="Currency 2 4 2 2 2 2 2 2 3" xfId="11902"/>
    <cellStyle name="Currency 2 4 2 2 2 2 2 3" xfId="11903"/>
    <cellStyle name="Currency 2 4 2 2 2 2 2 3 2" xfId="11904"/>
    <cellStyle name="Currency 2 4 2 2 2 2 2 4" xfId="11905"/>
    <cellStyle name="Currency 2 4 2 2 2 2 3" xfId="11906"/>
    <cellStyle name="Currency 2 4 2 2 2 2 3 2" xfId="11907"/>
    <cellStyle name="Currency 2 4 2 2 2 2 3 2 2" xfId="11908"/>
    <cellStyle name="Currency 2 4 2 2 2 2 3 3" xfId="11909"/>
    <cellStyle name="Currency 2 4 2 2 2 2 4" xfId="11910"/>
    <cellStyle name="Currency 2 4 2 2 2 2 4 2" xfId="11911"/>
    <cellStyle name="Currency 2 4 2 2 2 2 4 3" xfId="11912"/>
    <cellStyle name="Currency 2 4 2 2 2 2 5" xfId="11913"/>
    <cellStyle name="Currency 2 4 2 2 2 2 5 2" xfId="11914"/>
    <cellStyle name="Currency 2 4 2 2 2 2 6" xfId="11915"/>
    <cellStyle name="Currency 2 4 2 2 2 2 6 2" xfId="36385"/>
    <cellStyle name="Currency 2 4 2 2 2 2 7" xfId="11916"/>
    <cellStyle name="Currency 2 4 2 2 2 3" xfId="11917"/>
    <cellStyle name="Currency 2 4 2 2 2 3 2" xfId="11918"/>
    <cellStyle name="Currency 2 4 2 2 2 3 2 2" xfId="11919"/>
    <cellStyle name="Currency 2 4 2 2 2 3 2 2 2" xfId="11920"/>
    <cellStyle name="Currency 2 4 2 2 2 3 2 3" xfId="11921"/>
    <cellStyle name="Currency 2 4 2 2 2 3 3" xfId="11922"/>
    <cellStyle name="Currency 2 4 2 2 2 3 3 2" xfId="11923"/>
    <cellStyle name="Currency 2 4 2 2 2 3 4" xfId="11924"/>
    <cellStyle name="Currency 2 4 2 2 2 4" xfId="11925"/>
    <cellStyle name="Currency 2 4 2 2 2 4 2" xfId="11926"/>
    <cellStyle name="Currency 2 4 2 2 2 4 2 2" xfId="11927"/>
    <cellStyle name="Currency 2 4 2 2 2 4 3" xfId="11928"/>
    <cellStyle name="Currency 2 4 2 2 2 5" xfId="11929"/>
    <cellStyle name="Currency 2 4 2 2 2 5 2" xfId="11930"/>
    <cellStyle name="Currency 2 4 2 2 2 5 2 2" xfId="11931"/>
    <cellStyle name="Currency 2 4 2 2 2 5 3" xfId="11932"/>
    <cellStyle name="Currency 2 4 2 2 2 6" xfId="11933"/>
    <cellStyle name="Currency 2 4 2 2 2 6 2" xfId="11934"/>
    <cellStyle name="Currency 2 4 2 2 2 7" xfId="11935"/>
    <cellStyle name="Currency 2 4 2 2 2 7 2" xfId="36386"/>
    <cellStyle name="Currency 2 4 2 2 2 8" xfId="11936"/>
    <cellStyle name="Currency 2 4 2 2 3" xfId="11937"/>
    <cellStyle name="Currency 2 4 2 2 3 2" xfId="11938"/>
    <cellStyle name="Currency 2 4 2 2 3 2 2" xfId="11939"/>
    <cellStyle name="Currency 2 4 2 2 3 2 2 2" xfId="11940"/>
    <cellStyle name="Currency 2 4 2 2 3 2 2 3" xfId="11941"/>
    <cellStyle name="Currency 2 4 2 2 3 2 3" xfId="11942"/>
    <cellStyle name="Currency 2 4 2 2 3 2 3 2" xfId="11943"/>
    <cellStyle name="Currency 2 4 2 2 3 2 4" xfId="11944"/>
    <cellStyle name="Currency 2 4 2 2 3 3" xfId="11945"/>
    <cellStyle name="Currency 2 4 2 2 3 3 2" xfId="11946"/>
    <cellStyle name="Currency 2 4 2 2 3 3 2 2" xfId="11947"/>
    <cellStyle name="Currency 2 4 2 2 3 3 3" xfId="11948"/>
    <cellStyle name="Currency 2 4 2 2 3 4" xfId="11949"/>
    <cellStyle name="Currency 2 4 2 2 3 4 2" xfId="11950"/>
    <cellStyle name="Currency 2 4 2 2 3 4 3" xfId="11951"/>
    <cellStyle name="Currency 2 4 2 2 3 5" xfId="11952"/>
    <cellStyle name="Currency 2 4 2 2 3 5 2" xfId="11953"/>
    <cellStyle name="Currency 2 4 2 2 3 6" xfId="11954"/>
    <cellStyle name="Currency 2 4 2 2 3 6 2" xfId="36387"/>
    <cellStyle name="Currency 2 4 2 2 3 7" xfId="11955"/>
    <cellStyle name="Currency 2 4 2 2 4" xfId="11956"/>
    <cellStyle name="Currency 2 4 2 2 4 2" xfId="11957"/>
    <cellStyle name="Currency 2 4 2 2 4 2 2" xfId="11958"/>
    <cellStyle name="Currency 2 4 2 2 4 2 2 2" xfId="11959"/>
    <cellStyle name="Currency 2 4 2 2 4 2 3" xfId="11960"/>
    <cellStyle name="Currency 2 4 2 2 4 3" xfId="11961"/>
    <cellStyle name="Currency 2 4 2 2 4 3 2" xfId="11962"/>
    <cellStyle name="Currency 2 4 2 2 4 4" xfId="11963"/>
    <cellStyle name="Currency 2 4 2 2 5" xfId="11964"/>
    <cellStyle name="Currency 2 4 2 2 5 2" xfId="11965"/>
    <cellStyle name="Currency 2 4 2 2 5 2 2" xfId="11966"/>
    <cellStyle name="Currency 2 4 2 2 5 3" xfId="11967"/>
    <cellStyle name="Currency 2 4 2 2 6" xfId="11968"/>
    <cellStyle name="Currency 2 4 2 2 6 2" xfId="11969"/>
    <cellStyle name="Currency 2 4 2 2 6 2 2" xfId="11970"/>
    <cellStyle name="Currency 2 4 2 2 6 3" xfId="11971"/>
    <cellStyle name="Currency 2 4 2 2 7" xfId="11972"/>
    <cellStyle name="Currency 2 4 2 2 7 2" xfId="11973"/>
    <cellStyle name="Currency 2 4 2 2 8" xfId="11974"/>
    <cellStyle name="Currency 2 4 2 2 8 2" xfId="36388"/>
    <cellStyle name="Currency 2 4 2 2 9" xfId="11975"/>
    <cellStyle name="Currency 2 4 2 3" xfId="11976"/>
    <cellStyle name="Currency 2 4 2 3 2" xfId="11977"/>
    <cellStyle name="Currency 2 4 2 3 2 2" xfId="11978"/>
    <cellStyle name="Currency 2 4 2 3 2 2 2" xfId="11979"/>
    <cellStyle name="Currency 2 4 2 3 2 2 2 2" xfId="11980"/>
    <cellStyle name="Currency 2 4 2 3 2 2 2 3" xfId="11981"/>
    <cellStyle name="Currency 2 4 2 3 2 2 3" xfId="11982"/>
    <cellStyle name="Currency 2 4 2 3 2 2 3 2" xfId="11983"/>
    <cellStyle name="Currency 2 4 2 3 2 2 4" xfId="11984"/>
    <cellStyle name="Currency 2 4 2 3 2 3" xfId="11985"/>
    <cellStyle name="Currency 2 4 2 3 2 3 2" xfId="11986"/>
    <cellStyle name="Currency 2 4 2 3 2 3 2 2" xfId="11987"/>
    <cellStyle name="Currency 2 4 2 3 2 3 3" xfId="11988"/>
    <cellStyle name="Currency 2 4 2 3 2 4" xfId="11989"/>
    <cellStyle name="Currency 2 4 2 3 2 4 2" xfId="11990"/>
    <cellStyle name="Currency 2 4 2 3 2 4 3" xfId="11991"/>
    <cellStyle name="Currency 2 4 2 3 2 5" xfId="11992"/>
    <cellStyle name="Currency 2 4 2 3 2 5 2" xfId="11993"/>
    <cellStyle name="Currency 2 4 2 3 2 6" xfId="11994"/>
    <cellStyle name="Currency 2 4 2 3 2 6 2" xfId="36389"/>
    <cellStyle name="Currency 2 4 2 3 2 7" xfId="11995"/>
    <cellStyle name="Currency 2 4 2 3 3" xfId="11996"/>
    <cellStyle name="Currency 2 4 2 3 3 2" xfId="11997"/>
    <cellStyle name="Currency 2 4 2 3 3 2 2" xfId="11998"/>
    <cellStyle name="Currency 2 4 2 3 3 2 2 2" xfId="11999"/>
    <cellStyle name="Currency 2 4 2 3 3 2 3" xfId="12000"/>
    <cellStyle name="Currency 2 4 2 3 3 3" xfId="12001"/>
    <cellStyle name="Currency 2 4 2 3 3 3 2" xfId="12002"/>
    <cellStyle name="Currency 2 4 2 3 3 4" xfId="12003"/>
    <cellStyle name="Currency 2 4 2 3 4" xfId="12004"/>
    <cellStyle name="Currency 2 4 2 3 4 2" xfId="12005"/>
    <cellStyle name="Currency 2 4 2 3 4 2 2" xfId="12006"/>
    <cellStyle name="Currency 2 4 2 3 4 3" xfId="12007"/>
    <cellStyle name="Currency 2 4 2 3 5" xfId="12008"/>
    <cellStyle name="Currency 2 4 2 3 5 2" xfId="12009"/>
    <cellStyle name="Currency 2 4 2 3 5 2 2" xfId="12010"/>
    <cellStyle name="Currency 2 4 2 3 5 3" xfId="12011"/>
    <cellStyle name="Currency 2 4 2 3 6" xfId="12012"/>
    <cellStyle name="Currency 2 4 2 3 6 2" xfId="12013"/>
    <cellStyle name="Currency 2 4 2 3 7" xfId="12014"/>
    <cellStyle name="Currency 2 4 2 3 7 2" xfId="36390"/>
    <cellStyle name="Currency 2 4 2 3 8" xfId="12015"/>
    <cellStyle name="Currency 2 4 2 4" xfId="12016"/>
    <cellStyle name="Currency 2 4 2 4 2" xfId="12017"/>
    <cellStyle name="Currency 2 4 2 4 2 2" xfId="12018"/>
    <cellStyle name="Currency 2 4 2 4 2 2 2" xfId="12019"/>
    <cellStyle name="Currency 2 4 2 4 2 2 3" xfId="12020"/>
    <cellStyle name="Currency 2 4 2 4 2 3" xfId="12021"/>
    <cellStyle name="Currency 2 4 2 4 2 3 2" xfId="12022"/>
    <cellStyle name="Currency 2 4 2 4 2 4" xfId="12023"/>
    <cellStyle name="Currency 2 4 2 4 3" xfId="12024"/>
    <cellStyle name="Currency 2 4 2 4 3 2" xfId="12025"/>
    <cellStyle name="Currency 2 4 2 4 3 2 2" xfId="12026"/>
    <cellStyle name="Currency 2 4 2 4 3 3" xfId="12027"/>
    <cellStyle name="Currency 2 4 2 4 4" xfId="12028"/>
    <cellStyle name="Currency 2 4 2 4 4 2" xfId="12029"/>
    <cellStyle name="Currency 2 4 2 4 4 3" xfId="12030"/>
    <cellStyle name="Currency 2 4 2 4 5" xfId="12031"/>
    <cellStyle name="Currency 2 4 2 4 5 2" xfId="12032"/>
    <cellStyle name="Currency 2 4 2 4 6" xfId="12033"/>
    <cellStyle name="Currency 2 4 2 4 6 2" xfId="36391"/>
    <cellStyle name="Currency 2 4 2 4 7" xfId="12034"/>
    <cellStyle name="Currency 2 4 2 5" xfId="12035"/>
    <cellStyle name="Currency 2 4 2 5 2" xfId="12036"/>
    <cellStyle name="Currency 2 4 2 5 2 2" xfId="12037"/>
    <cellStyle name="Currency 2 4 2 5 2 2 2" xfId="12038"/>
    <cellStyle name="Currency 2 4 2 5 2 3" xfId="12039"/>
    <cellStyle name="Currency 2 4 2 5 3" xfId="12040"/>
    <cellStyle name="Currency 2 4 2 5 3 2" xfId="12041"/>
    <cellStyle name="Currency 2 4 2 5 4" xfId="12042"/>
    <cellStyle name="Currency 2 4 2 6" xfId="12043"/>
    <cellStyle name="Currency 2 4 2 6 2" xfId="12044"/>
    <cellStyle name="Currency 2 4 2 6 2 2" xfId="12045"/>
    <cellStyle name="Currency 2 4 2 6 3" xfId="12046"/>
    <cellStyle name="Currency 2 4 2 7" xfId="12047"/>
    <cellStyle name="Currency 2 4 2 7 2" xfId="12048"/>
    <cellStyle name="Currency 2 4 2 7 2 2" xfId="12049"/>
    <cellStyle name="Currency 2 4 2 7 3" xfId="12050"/>
    <cellStyle name="Currency 2 4 2 8" xfId="12051"/>
    <cellStyle name="Currency 2 4 2 8 2" xfId="12052"/>
    <cellStyle name="Currency 2 4 2 9" xfId="12053"/>
    <cellStyle name="Currency 2 4 2 9 2" xfId="36392"/>
    <cellStyle name="Currency 2 4 3" xfId="12054"/>
    <cellStyle name="Currency 2 4 3 2" xfId="12055"/>
    <cellStyle name="Currency 2 4 3 2 2" xfId="12056"/>
    <cellStyle name="Currency 2 4 3 2 2 2" xfId="12057"/>
    <cellStyle name="Currency 2 4 3 2 2 2 2" xfId="12058"/>
    <cellStyle name="Currency 2 4 3 2 2 2 2 2" xfId="12059"/>
    <cellStyle name="Currency 2 4 3 2 2 2 2 3" xfId="12060"/>
    <cellStyle name="Currency 2 4 3 2 2 2 3" xfId="12061"/>
    <cellStyle name="Currency 2 4 3 2 2 2 3 2" xfId="12062"/>
    <cellStyle name="Currency 2 4 3 2 2 2 4" xfId="12063"/>
    <cellStyle name="Currency 2 4 3 2 2 3" xfId="12064"/>
    <cellStyle name="Currency 2 4 3 2 2 3 2" xfId="12065"/>
    <cellStyle name="Currency 2 4 3 2 2 3 2 2" xfId="12066"/>
    <cellStyle name="Currency 2 4 3 2 2 3 3" xfId="12067"/>
    <cellStyle name="Currency 2 4 3 2 2 4" xfId="12068"/>
    <cellStyle name="Currency 2 4 3 2 2 4 2" xfId="12069"/>
    <cellStyle name="Currency 2 4 3 2 2 4 3" xfId="12070"/>
    <cellStyle name="Currency 2 4 3 2 2 5" xfId="12071"/>
    <cellStyle name="Currency 2 4 3 2 2 5 2" xfId="12072"/>
    <cellStyle name="Currency 2 4 3 2 2 6" xfId="12073"/>
    <cellStyle name="Currency 2 4 3 2 2 6 2" xfId="36393"/>
    <cellStyle name="Currency 2 4 3 2 2 7" xfId="12074"/>
    <cellStyle name="Currency 2 4 3 2 3" xfId="12075"/>
    <cellStyle name="Currency 2 4 3 2 3 2" xfId="12076"/>
    <cellStyle name="Currency 2 4 3 2 3 2 2" xfId="12077"/>
    <cellStyle name="Currency 2 4 3 2 3 2 2 2" xfId="12078"/>
    <cellStyle name="Currency 2 4 3 2 3 2 3" xfId="12079"/>
    <cellStyle name="Currency 2 4 3 2 3 3" xfId="12080"/>
    <cellStyle name="Currency 2 4 3 2 3 3 2" xfId="12081"/>
    <cellStyle name="Currency 2 4 3 2 3 4" xfId="12082"/>
    <cellStyle name="Currency 2 4 3 2 4" xfId="12083"/>
    <cellStyle name="Currency 2 4 3 2 4 2" xfId="12084"/>
    <cellStyle name="Currency 2 4 3 2 4 2 2" xfId="12085"/>
    <cellStyle name="Currency 2 4 3 2 4 3" xfId="12086"/>
    <cellStyle name="Currency 2 4 3 2 5" xfId="12087"/>
    <cellStyle name="Currency 2 4 3 2 5 2" xfId="12088"/>
    <cellStyle name="Currency 2 4 3 2 5 2 2" xfId="12089"/>
    <cellStyle name="Currency 2 4 3 2 5 3" xfId="12090"/>
    <cellStyle name="Currency 2 4 3 2 6" xfId="12091"/>
    <cellStyle name="Currency 2 4 3 2 6 2" xfId="12092"/>
    <cellStyle name="Currency 2 4 3 2 7" xfId="12093"/>
    <cellStyle name="Currency 2 4 3 2 7 2" xfId="36394"/>
    <cellStyle name="Currency 2 4 3 2 8" xfId="12094"/>
    <cellStyle name="Currency 2 4 3 3" xfId="12095"/>
    <cellStyle name="Currency 2 4 3 3 2" xfId="12096"/>
    <cellStyle name="Currency 2 4 3 3 2 2" xfId="12097"/>
    <cellStyle name="Currency 2 4 3 3 2 2 2" xfId="12098"/>
    <cellStyle name="Currency 2 4 3 3 2 2 3" xfId="12099"/>
    <cellStyle name="Currency 2 4 3 3 2 3" xfId="12100"/>
    <cellStyle name="Currency 2 4 3 3 2 3 2" xfId="12101"/>
    <cellStyle name="Currency 2 4 3 3 2 4" xfId="12102"/>
    <cellStyle name="Currency 2 4 3 3 3" xfId="12103"/>
    <cellStyle name="Currency 2 4 3 3 3 2" xfId="12104"/>
    <cellStyle name="Currency 2 4 3 3 3 2 2" xfId="12105"/>
    <cellStyle name="Currency 2 4 3 3 3 3" xfId="12106"/>
    <cellStyle name="Currency 2 4 3 3 4" xfId="12107"/>
    <cellStyle name="Currency 2 4 3 3 4 2" xfId="12108"/>
    <cellStyle name="Currency 2 4 3 3 4 3" xfId="12109"/>
    <cellStyle name="Currency 2 4 3 3 5" xfId="12110"/>
    <cellStyle name="Currency 2 4 3 3 5 2" xfId="12111"/>
    <cellStyle name="Currency 2 4 3 3 6" xfId="12112"/>
    <cellStyle name="Currency 2 4 3 3 6 2" xfId="36395"/>
    <cellStyle name="Currency 2 4 3 3 7" xfId="12113"/>
    <cellStyle name="Currency 2 4 3 4" xfId="12114"/>
    <cellStyle name="Currency 2 4 3 4 2" xfId="12115"/>
    <cellStyle name="Currency 2 4 3 4 2 2" xfId="12116"/>
    <cellStyle name="Currency 2 4 3 4 2 2 2" xfId="12117"/>
    <cellStyle name="Currency 2 4 3 4 2 3" xfId="12118"/>
    <cellStyle name="Currency 2 4 3 4 3" xfId="12119"/>
    <cellStyle name="Currency 2 4 3 4 3 2" xfId="12120"/>
    <cellStyle name="Currency 2 4 3 4 4" xfId="12121"/>
    <cellStyle name="Currency 2 4 3 5" xfId="12122"/>
    <cellStyle name="Currency 2 4 3 5 2" xfId="12123"/>
    <cellStyle name="Currency 2 4 3 5 2 2" xfId="12124"/>
    <cellStyle name="Currency 2 4 3 5 3" xfId="12125"/>
    <cellStyle name="Currency 2 4 3 6" xfId="12126"/>
    <cellStyle name="Currency 2 4 3 6 2" xfId="12127"/>
    <cellStyle name="Currency 2 4 3 6 2 2" xfId="12128"/>
    <cellStyle name="Currency 2 4 3 6 3" xfId="12129"/>
    <cellStyle name="Currency 2 4 3 7" xfId="12130"/>
    <cellStyle name="Currency 2 4 3 7 2" xfId="12131"/>
    <cellStyle name="Currency 2 4 3 8" xfId="12132"/>
    <cellStyle name="Currency 2 4 3 8 2" xfId="36396"/>
    <cellStyle name="Currency 2 4 3 9" xfId="12133"/>
    <cellStyle name="Currency 2 4 4" xfId="12134"/>
    <cellStyle name="Currency 2 4 4 2" xfId="12135"/>
    <cellStyle name="Currency 2 4 4 2 2" xfId="12136"/>
    <cellStyle name="Currency 2 4 4 2 2 2" xfId="12137"/>
    <cellStyle name="Currency 2 4 4 2 2 2 2" xfId="12138"/>
    <cellStyle name="Currency 2 4 4 2 2 2 2 2" xfId="12139"/>
    <cellStyle name="Currency 2 4 4 2 2 2 2 3" xfId="12140"/>
    <cellStyle name="Currency 2 4 4 2 2 2 3" xfId="12141"/>
    <cellStyle name="Currency 2 4 4 2 2 2 3 2" xfId="12142"/>
    <cellStyle name="Currency 2 4 4 2 2 2 4" xfId="12143"/>
    <cellStyle name="Currency 2 4 4 2 2 3" xfId="12144"/>
    <cellStyle name="Currency 2 4 4 2 2 3 2" xfId="12145"/>
    <cellStyle name="Currency 2 4 4 2 2 3 2 2" xfId="12146"/>
    <cellStyle name="Currency 2 4 4 2 2 3 3" xfId="12147"/>
    <cellStyle name="Currency 2 4 4 2 2 4" xfId="12148"/>
    <cellStyle name="Currency 2 4 4 2 2 4 2" xfId="12149"/>
    <cellStyle name="Currency 2 4 4 2 2 4 3" xfId="12150"/>
    <cellStyle name="Currency 2 4 4 2 2 5" xfId="12151"/>
    <cellStyle name="Currency 2 4 4 2 2 5 2" xfId="12152"/>
    <cellStyle name="Currency 2 4 4 2 2 6" xfId="12153"/>
    <cellStyle name="Currency 2 4 4 2 2 6 2" xfId="36397"/>
    <cellStyle name="Currency 2 4 4 2 2 7" xfId="12154"/>
    <cellStyle name="Currency 2 4 4 2 3" xfId="12155"/>
    <cellStyle name="Currency 2 4 4 2 3 2" xfId="12156"/>
    <cellStyle name="Currency 2 4 4 2 3 2 2" xfId="12157"/>
    <cellStyle name="Currency 2 4 4 2 3 2 2 2" xfId="12158"/>
    <cellStyle name="Currency 2 4 4 2 3 2 3" xfId="12159"/>
    <cellStyle name="Currency 2 4 4 2 3 3" xfId="12160"/>
    <cellStyle name="Currency 2 4 4 2 3 3 2" xfId="12161"/>
    <cellStyle name="Currency 2 4 4 2 3 4" xfId="12162"/>
    <cellStyle name="Currency 2 4 4 2 4" xfId="12163"/>
    <cellStyle name="Currency 2 4 4 2 4 2" xfId="12164"/>
    <cellStyle name="Currency 2 4 4 2 4 2 2" xfId="12165"/>
    <cellStyle name="Currency 2 4 4 2 4 3" xfId="12166"/>
    <cellStyle name="Currency 2 4 4 2 5" xfId="12167"/>
    <cellStyle name="Currency 2 4 4 2 5 2" xfId="12168"/>
    <cellStyle name="Currency 2 4 4 2 5 2 2" xfId="12169"/>
    <cellStyle name="Currency 2 4 4 2 5 3" xfId="12170"/>
    <cellStyle name="Currency 2 4 4 2 6" xfId="12171"/>
    <cellStyle name="Currency 2 4 4 2 6 2" xfId="12172"/>
    <cellStyle name="Currency 2 4 4 2 7" xfId="12173"/>
    <cellStyle name="Currency 2 4 4 2 7 2" xfId="36398"/>
    <cellStyle name="Currency 2 4 4 2 8" xfId="12174"/>
    <cellStyle name="Currency 2 4 4 3" xfId="12175"/>
    <cellStyle name="Currency 2 4 4 3 2" xfId="12176"/>
    <cellStyle name="Currency 2 4 4 3 2 2" xfId="12177"/>
    <cellStyle name="Currency 2 4 4 3 2 2 2" xfId="12178"/>
    <cellStyle name="Currency 2 4 4 3 2 2 3" xfId="12179"/>
    <cellStyle name="Currency 2 4 4 3 2 3" xfId="12180"/>
    <cellStyle name="Currency 2 4 4 3 2 3 2" xfId="12181"/>
    <cellStyle name="Currency 2 4 4 3 2 4" xfId="12182"/>
    <cellStyle name="Currency 2 4 4 3 3" xfId="12183"/>
    <cellStyle name="Currency 2 4 4 3 3 2" xfId="12184"/>
    <cellStyle name="Currency 2 4 4 3 3 2 2" xfId="12185"/>
    <cellStyle name="Currency 2 4 4 3 3 3" xfId="12186"/>
    <cellStyle name="Currency 2 4 4 3 4" xfId="12187"/>
    <cellStyle name="Currency 2 4 4 3 4 2" xfId="12188"/>
    <cellStyle name="Currency 2 4 4 3 4 3" xfId="12189"/>
    <cellStyle name="Currency 2 4 4 3 5" xfId="12190"/>
    <cellStyle name="Currency 2 4 4 3 5 2" xfId="12191"/>
    <cellStyle name="Currency 2 4 4 3 6" xfId="12192"/>
    <cellStyle name="Currency 2 4 4 3 6 2" xfId="36399"/>
    <cellStyle name="Currency 2 4 4 3 7" xfId="12193"/>
    <cellStyle name="Currency 2 4 4 4" xfId="12194"/>
    <cellStyle name="Currency 2 4 4 4 2" xfId="12195"/>
    <cellStyle name="Currency 2 4 4 4 2 2" xfId="12196"/>
    <cellStyle name="Currency 2 4 4 4 2 2 2" xfId="12197"/>
    <cellStyle name="Currency 2 4 4 4 2 3" xfId="12198"/>
    <cellStyle name="Currency 2 4 4 4 3" xfId="12199"/>
    <cellStyle name="Currency 2 4 4 4 3 2" xfId="12200"/>
    <cellStyle name="Currency 2 4 4 4 4" xfId="12201"/>
    <cellStyle name="Currency 2 4 4 5" xfId="12202"/>
    <cellStyle name="Currency 2 4 4 5 2" xfId="12203"/>
    <cellStyle name="Currency 2 4 4 5 2 2" xfId="12204"/>
    <cellStyle name="Currency 2 4 4 5 3" xfId="12205"/>
    <cellStyle name="Currency 2 4 4 6" xfId="12206"/>
    <cellStyle name="Currency 2 4 4 6 2" xfId="12207"/>
    <cellStyle name="Currency 2 4 4 6 2 2" xfId="12208"/>
    <cellStyle name="Currency 2 4 4 6 3" xfId="12209"/>
    <cellStyle name="Currency 2 4 4 7" xfId="12210"/>
    <cellStyle name="Currency 2 4 4 7 2" xfId="12211"/>
    <cellStyle name="Currency 2 4 4 8" xfId="12212"/>
    <cellStyle name="Currency 2 4 4 8 2" xfId="36400"/>
    <cellStyle name="Currency 2 4 4 9" xfId="12213"/>
    <cellStyle name="Currency 2 4 5" xfId="12214"/>
    <cellStyle name="Currency 2 4 5 2" xfId="12215"/>
    <cellStyle name="Currency 2 4 5 2 2" xfId="12216"/>
    <cellStyle name="Currency 2 4 5 2 2 2" xfId="12217"/>
    <cellStyle name="Currency 2 4 5 2 2 2 2" xfId="12218"/>
    <cellStyle name="Currency 2 4 5 2 2 2 3" xfId="12219"/>
    <cellStyle name="Currency 2 4 5 2 2 3" xfId="12220"/>
    <cellStyle name="Currency 2 4 5 2 2 3 2" xfId="12221"/>
    <cellStyle name="Currency 2 4 5 2 2 4" xfId="12222"/>
    <cellStyle name="Currency 2 4 5 2 3" xfId="12223"/>
    <cellStyle name="Currency 2 4 5 2 3 2" xfId="12224"/>
    <cellStyle name="Currency 2 4 5 2 3 2 2" xfId="12225"/>
    <cellStyle name="Currency 2 4 5 2 3 3" xfId="12226"/>
    <cellStyle name="Currency 2 4 5 2 4" xfId="12227"/>
    <cellStyle name="Currency 2 4 5 2 4 2" xfId="12228"/>
    <cellStyle name="Currency 2 4 5 2 4 3" xfId="12229"/>
    <cellStyle name="Currency 2 4 5 2 5" xfId="12230"/>
    <cellStyle name="Currency 2 4 5 2 5 2" xfId="12231"/>
    <cellStyle name="Currency 2 4 5 2 6" xfId="12232"/>
    <cellStyle name="Currency 2 4 5 2 6 2" xfId="36401"/>
    <cellStyle name="Currency 2 4 5 2 7" xfId="12233"/>
    <cellStyle name="Currency 2 4 5 3" xfId="12234"/>
    <cellStyle name="Currency 2 4 5 3 2" xfId="12235"/>
    <cellStyle name="Currency 2 4 5 3 2 2" xfId="12236"/>
    <cellStyle name="Currency 2 4 5 3 2 2 2" xfId="12237"/>
    <cellStyle name="Currency 2 4 5 3 2 3" xfId="12238"/>
    <cellStyle name="Currency 2 4 5 3 3" xfId="12239"/>
    <cellStyle name="Currency 2 4 5 3 3 2" xfId="12240"/>
    <cellStyle name="Currency 2 4 5 3 4" xfId="12241"/>
    <cellStyle name="Currency 2 4 5 4" xfId="12242"/>
    <cellStyle name="Currency 2 4 5 4 2" xfId="12243"/>
    <cellStyle name="Currency 2 4 5 4 2 2" xfId="12244"/>
    <cellStyle name="Currency 2 4 5 4 3" xfId="12245"/>
    <cellStyle name="Currency 2 4 5 5" xfId="12246"/>
    <cellStyle name="Currency 2 4 5 5 2" xfId="12247"/>
    <cellStyle name="Currency 2 4 5 5 2 2" xfId="12248"/>
    <cellStyle name="Currency 2 4 5 5 3" xfId="12249"/>
    <cellStyle name="Currency 2 4 5 6" xfId="12250"/>
    <cellStyle name="Currency 2 4 5 6 2" xfId="12251"/>
    <cellStyle name="Currency 2 4 5 7" xfId="12252"/>
    <cellStyle name="Currency 2 4 5 7 2" xfId="36402"/>
    <cellStyle name="Currency 2 4 5 8" xfId="12253"/>
    <cellStyle name="Currency 2 4 6" xfId="12254"/>
    <cellStyle name="Currency 2 4 6 2" xfId="12255"/>
    <cellStyle name="Currency 2 4 6 2 2" xfId="12256"/>
    <cellStyle name="Currency 2 4 6 2 2 2" xfId="12257"/>
    <cellStyle name="Currency 2 4 6 2 2 2 2" xfId="12258"/>
    <cellStyle name="Currency 2 4 6 2 2 2 3" xfId="12259"/>
    <cellStyle name="Currency 2 4 6 2 2 3" xfId="12260"/>
    <cellStyle name="Currency 2 4 6 2 2 3 2" xfId="12261"/>
    <cellStyle name="Currency 2 4 6 2 2 4" xfId="12262"/>
    <cellStyle name="Currency 2 4 6 2 3" xfId="12263"/>
    <cellStyle name="Currency 2 4 6 2 3 2" xfId="12264"/>
    <cellStyle name="Currency 2 4 6 2 3 2 2" xfId="12265"/>
    <cellStyle name="Currency 2 4 6 2 3 3" xfId="12266"/>
    <cellStyle name="Currency 2 4 6 2 4" xfId="12267"/>
    <cellStyle name="Currency 2 4 6 2 4 2" xfId="12268"/>
    <cellStyle name="Currency 2 4 6 2 4 3" xfId="12269"/>
    <cellStyle name="Currency 2 4 6 2 5" xfId="12270"/>
    <cellStyle name="Currency 2 4 6 2 5 2" xfId="12271"/>
    <cellStyle name="Currency 2 4 6 2 6" xfId="12272"/>
    <cellStyle name="Currency 2 4 6 2 6 2" xfId="36403"/>
    <cellStyle name="Currency 2 4 6 2 7" xfId="12273"/>
    <cellStyle name="Currency 2 4 6 3" xfId="12274"/>
    <cellStyle name="Currency 2 4 6 3 2" xfId="12275"/>
    <cellStyle name="Currency 2 4 6 3 2 2" xfId="12276"/>
    <cellStyle name="Currency 2 4 6 3 2 2 2" xfId="12277"/>
    <cellStyle name="Currency 2 4 6 3 2 3" xfId="12278"/>
    <cellStyle name="Currency 2 4 6 3 3" xfId="12279"/>
    <cellStyle name="Currency 2 4 6 3 3 2" xfId="12280"/>
    <cellStyle name="Currency 2 4 6 3 4" xfId="12281"/>
    <cellStyle name="Currency 2 4 6 4" xfId="12282"/>
    <cellStyle name="Currency 2 4 6 4 2" xfId="12283"/>
    <cellStyle name="Currency 2 4 6 4 2 2" xfId="12284"/>
    <cellStyle name="Currency 2 4 6 4 3" xfId="12285"/>
    <cellStyle name="Currency 2 4 6 5" xfId="12286"/>
    <cellStyle name="Currency 2 4 6 5 2" xfId="12287"/>
    <cellStyle name="Currency 2 4 6 5 2 2" xfId="12288"/>
    <cellStyle name="Currency 2 4 6 5 3" xfId="12289"/>
    <cellStyle name="Currency 2 4 6 6" xfId="12290"/>
    <cellStyle name="Currency 2 4 6 6 2" xfId="12291"/>
    <cellStyle name="Currency 2 4 6 7" xfId="12292"/>
    <cellStyle name="Currency 2 4 6 7 2" xfId="36404"/>
    <cellStyle name="Currency 2 4 6 8" xfId="12293"/>
    <cellStyle name="Currency 2 4 7" xfId="12294"/>
    <cellStyle name="Currency 2 4 7 2" xfId="12295"/>
    <cellStyle name="Currency 2 4 7 2 2" xfId="12296"/>
    <cellStyle name="Currency 2 4 7 2 2 2" xfId="12297"/>
    <cellStyle name="Currency 2 4 7 2 2 2 2" xfId="12298"/>
    <cellStyle name="Currency 2 4 7 2 2 2 3" xfId="12299"/>
    <cellStyle name="Currency 2 4 7 2 2 3" xfId="12300"/>
    <cellStyle name="Currency 2 4 7 2 2 3 2" xfId="12301"/>
    <cellStyle name="Currency 2 4 7 2 2 4" xfId="12302"/>
    <cellStyle name="Currency 2 4 7 2 3" xfId="12303"/>
    <cellStyle name="Currency 2 4 7 2 3 2" xfId="12304"/>
    <cellStyle name="Currency 2 4 7 2 3 2 2" xfId="12305"/>
    <cellStyle name="Currency 2 4 7 2 3 3" xfId="12306"/>
    <cellStyle name="Currency 2 4 7 2 4" xfId="12307"/>
    <cellStyle name="Currency 2 4 7 2 4 2" xfId="12308"/>
    <cellStyle name="Currency 2 4 7 2 4 3" xfId="12309"/>
    <cellStyle name="Currency 2 4 7 2 5" xfId="12310"/>
    <cellStyle name="Currency 2 4 7 2 5 2" xfId="12311"/>
    <cellStyle name="Currency 2 4 7 2 6" xfId="12312"/>
    <cellStyle name="Currency 2 4 7 2 6 2" xfId="36405"/>
    <cellStyle name="Currency 2 4 7 2 7" xfId="12313"/>
    <cellStyle name="Currency 2 4 7 3" xfId="12314"/>
    <cellStyle name="Currency 2 4 7 3 2" xfId="12315"/>
    <cellStyle name="Currency 2 4 7 3 2 2" xfId="12316"/>
    <cellStyle name="Currency 2 4 7 3 2 2 2" xfId="12317"/>
    <cellStyle name="Currency 2 4 7 3 2 3" xfId="12318"/>
    <cellStyle name="Currency 2 4 7 3 3" xfId="12319"/>
    <cellStyle name="Currency 2 4 7 3 3 2" xfId="12320"/>
    <cellStyle name="Currency 2 4 7 3 4" xfId="12321"/>
    <cellStyle name="Currency 2 4 7 4" xfId="12322"/>
    <cellStyle name="Currency 2 4 7 4 2" xfId="12323"/>
    <cellStyle name="Currency 2 4 7 4 2 2" xfId="12324"/>
    <cellStyle name="Currency 2 4 7 4 3" xfId="12325"/>
    <cellStyle name="Currency 2 4 7 5" xfId="12326"/>
    <cellStyle name="Currency 2 4 7 5 2" xfId="12327"/>
    <cellStyle name="Currency 2 4 7 5 2 2" xfId="12328"/>
    <cellStyle name="Currency 2 4 7 5 3" xfId="12329"/>
    <cellStyle name="Currency 2 4 7 6" xfId="12330"/>
    <cellStyle name="Currency 2 4 7 6 2" xfId="12331"/>
    <cellStyle name="Currency 2 4 7 7" xfId="12332"/>
    <cellStyle name="Currency 2 4 7 7 2" xfId="36406"/>
    <cellStyle name="Currency 2 4 7 8" xfId="12333"/>
    <cellStyle name="Currency 2 4 8" xfId="12334"/>
    <cellStyle name="Currency 2 4 8 2" xfId="12335"/>
    <cellStyle name="Currency 2 4 8 2 2" xfId="12336"/>
    <cellStyle name="Currency 2 4 8 2 2 2" xfId="12337"/>
    <cellStyle name="Currency 2 4 8 2 2 3" xfId="12338"/>
    <cellStyle name="Currency 2 4 8 2 3" xfId="12339"/>
    <cellStyle name="Currency 2 4 8 2 3 2" xfId="12340"/>
    <cellStyle name="Currency 2 4 8 2 4" xfId="12341"/>
    <cellStyle name="Currency 2 4 8 3" xfId="12342"/>
    <cellStyle name="Currency 2 4 8 3 2" xfId="12343"/>
    <cellStyle name="Currency 2 4 8 3 2 2" xfId="12344"/>
    <cellStyle name="Currency 2 4 8 3 3" xfId="12345"/>
    <cellStyle name="Currency 2 4 8 4" xfId="12346"/>
    <cellStyle name="Currency 2 4 8 4 2" xfId="12347"/>
    <cellStyle name="Currency 2 4 8 4 3" xfId="12348"/>
    <cellStyle name="Currency 2 4 8 5" xfId="12349"/>
    <cellStyle name="Currency 2 4 8 5 2" xfId="12350"/>
    <cellStyle name="Currency 2 4 8 6" xfId="12351"/>
    <cellStyle name="Currency 2 4 8 6 2" xfId="36407"/>
    <cellStyle name="Currency 2 4 8 7" xfId="12352"/>
    <cellStyle name="Currency 2 4 9" xfId="12353"/>
    <cellStyle name="Currency 2 4 9 2" xfId="12354"/>
    <cellStyle name="Currency 2 4 9 2 2" xfId="12355"/>
    <cellStyle name="Currency 2 4 9 2 2 2" xfId="12356"/>
    <cellStyle name="Currency 2 4 9 2 3" xfId="12357"/>
    <cellStyle name="Currency 2 4 9 3" xfId="12358"/>
    <cellStyle name="Currency 2 4 9 3 2" xfId="12359"/>
    <cellStyle name="Currency 2 4 9 4" xfId="12360"/>
    <cellStyle name="Currency 2 5" xfId="12361"/>
    <cellStyle name="Currency 2 5 10" xfId="12362"/>
    <cellStyle name="Currency 2 5 10 2" xfId="12363"/>
    <cellStyle name="Currency 2 5 10 2 2" xfId="12364"/>
    <cellStyle name="Currency 2 5 10 3" xfId="12365"/>
    <cellStyle name="Currency 2 5 11" xfId="12366"/>
    <cellStyle name="Currency 2 5 11 2" xfId="12367"/>
    <cellStyle name="Currency 2 5 11 2 2" xfId="12368"/>
    <cellStyle name="Currency 2 5 11 3" xfId="12369"/>
    <cellStyle name="Currency 2 5 12" xfId="12370"/>
    <cellStyle name="Currency 2 5 12 2" xfId="12371"/>
    <cellStyle name="Currency 2 5 13" xfId="12372"/>
    <cellStyle name="Currency 2 5 13 2" xfId="36408"/>
    <cellStyle name="Currency 2 5 14" xfId="12373"/>
    <cellStyle name="Currency 2 5 2" xfId="12374"/>
    <cellStyle name="Currency 2 5 2 10" xfId="12375"/>
    <cellStyle name="Currency 2 5 2 2" xfId="12376"/>
    <cellStyle name="Currency 2 5 2 2 2" xfId="12377"/>
    <cellStyle name="Currency 2 5 2 2 2 2" xfId="12378"/>
    <cellStyle name="Currency 2 5 2 2 2 2 2" xfId="12379"/>
    <cellStyle name="Currency 2 5 2 2 2 2 2 2" xfId="12380"/>
    <cellStyle name="Currency 2 5 2 2 2 2 2 2 2" xfId="12381"/>
    <cellStyle name="Currency 2 5 2 2 2 2 2 2 3" xfId="12382"/>
    <cellStyle name="Currency 2 5 2 2 2 2 2 3" xfId="12383"/>
    <cellStyle name="Currency 2 5 2 2 2 2 2 3 2" xfId="12384"/>
    <cellStyle name="Currency 2 5 2 2 2 2 2 4" xfId="12385"/>
    <cellStyle name="Currency 2 5 2 2 2 2 3" xfId="12386"/>
    <cellStyle name="Currency 2 5 2 2 2 2 3 2" xfId="12387"/>
    <cellStyle name="Currency 2 5 2 2 2 2 3 2 2" xfId="12388"/>
    <cellStyle name="Currency 2 5 2 2 2 2 3 3" xfId="12389"/>
    <cellStyle name="Currency 2 5 2 2 2 2 4" xfId="12390"/>
    <cellStyle name="Currency 2 5 2 2 2 2 4 2" xfId="12391"/>
    <cellStyle name="Currency 2 5 2 2 2 2 4 3" xfId="12392"/>
    <cellStyle name="Currency 2 5 2 2 2 2 5" xfId="12393"/>
    <cellStyle name="Currency 2 5 2 2 2 2 5 2" xfId="12394"/>
    <cellStyle name="Currency 2 5 2 2 2 2 6" xfId="12395"/>
    <cellStyle name="Currency 2 5 2 2 2 2 6 2" xfId="36409"/>
    <cellStyle name="Currency 2 5 2 2 2 2 7" xfId="12396"/>
    <cellStyle name="Currency 2 5 2 2 2 3" xfId="12397"/>
    <cellStyle name="Currency 2 5 2 2 2 3 2" xfId="12398"/>
    <cellStyle name="Currency 2 5 2 2 2 3 2 2" xfId="12399"/>
    <cellStyle name="Currency 2 5 2 2 2 3 2 2 2" xfId="12400"/>
    <cellStyle name="Currency 2 5 2 2 2 3 2 3" xfId="12401"/>
    <cellStyle name="Currency 2 5 2 2 2 3 3" xfId="12402"/>
    <cellStyle name="Currency 2 5 2 2 2 3 3 2" xfId="12403"/>
    <cellStyle name="Currency 2 5 2 2 2 3 4" xfId="12404"/>
    <cellStyle name="Currency 2 5 2 2 2 4" xfId="12405"/>
    <cellStyle name="Currency 2 5 2 2 2 4 2" xfId="12406"/>
    <cellStyle name="Currency 2 5 2 2 2 4 2 2" xfId="12407"/>
    <cellStyle name="Currency 2 5 2 2 2 4 3" xfId="12408"/>
    <cellStyle name="Currency 2 5 2 2 2 5" xfId="12409"/>
    <cellStyle name="Currency 2 5 2 2 2 5 2" xfId="12410"/>
    <cellStyle name="Currency 2 5 2 2 2 5 2 2" xfId="12411"/>
    <cellStyle name="Currency 2 5 2 2 2 5 3" xfId="12412"/>
    <cellStyle name="Currency 2 5 2 2 2 6" xfId="12413"/>
    <cellStyle name="Currency 2 5 2 2 2 6 2" xfId="12414"/>
    <cellStyle name="Currency 2 5 2 2 2 7" xfId="12415"/>
    <cellStyle name="Currency 2 5 2 2 2 7 2" xfId="36410"/>
    <cellStyle name="Currency 2 5 2 2 2 8" xfId="12416"/>
    <cellStyle name="Currency 2 5 2 2 3" xfId="12417"/>
    <cellStyle name="Currency 2 5 2 2 3 2" xfId="12418"/>
    <cellStyle name="Currency 2 5 2 2 3 2 2" xfId="12419"/>
    <cellStyle name="Currency 2 5 2 2 3 2 2 2" xfId="12420"/>
    <cellStyle name="Currency 2 5 2 2 3 2 2 3" xfId="12421"/>
    <cellStyle name="Currency 2 5 2 2 3 2 3" xfId="12422"/>
    <cellStyle name="Currency 2 5 2 2 3 2 3 2" xfId="12423"/>
    <cellStyle name="Currency 2 5 2 2 3 2 4" xfId="12424"/>
    <cellStyle name="Currency 2 5 2 2 3 3" xfId="12425"/>
    <cellStyle name="Currency 2 5 2 2 3 3 2" xfId="12426"/>
    <cellStyle name="Currency 2 5 2 2 3 3 2 2" xfId="12427"/>
    <cellStyle name="Currency 2 5 2 2 3 3 3" xfId="12428"/>
    <cellStyle name="Currency 2 5 2 2 3 4" xfId="12429"/>
    <cellStyle name="Currency 2 5 2 2 3 4 2" xfId="12430"/>
    <cellStyle name="Currency 2 5 2 2 3 4 3" xfId="12431"/>
    <cellStyle name="Currency 2 5 2 2 3 5" xfId="12432"/>
    <cellStyle name="Currency 2 5 2 2 3 5 2" xfId="12433"/>
    <cellStyle name="Currency 2 5 2 2 3 6" xfId="12434"/>
    <cellStyle name="Currency 2 5 2 2 3 6 2" xfId="36411"/>
    <cellStyle name="Currency 2 5 2 2 3 7" xfId="12435"/>
    <cellStyle name="Currency 2 5 2 2 4" xfId="12436"/>
    <cellStyle name="Currency 2 5 2 2 4 2" xfId="12437"/>
    <cellStyle name="Currency 2 5 2 2 4 2 2" xfId="12438"/>
    <cellStyle name="Currency 2 5 2 2 4 2 2 2" xfId="12439"/>
    <cellStyle name="Currency 2 5 2 2 4 2 3" xfId="12440"/>
    <cellStyle name="Currency 2 5 2 2 4 3" xfId="12441"/>
    <cellStyle name="Currency 2 5 2 2 4 3 2" xfId="12442"/>
    <cellStyle name="Currency 2 5 2 2 4 4" xfId="12443"/>
    <cellStyle name="Currency 2 5 2 2 5" xfId="12444"/>
    <cellStyle name="Currency 2 5 2 2 5 2" xfId="12445"/>
    <cellStyle name="Currency 2 5 2 2 5 2 2" xfId="12446"/>
    <cellStyle name="Currency 2 5 2 2 5 3" xfId="12447"/>
    <cellStyle name="Currency 2 5 2 2 6" xfId="12448"/>
    <cellStyle name="Currency 2 5 2 2 6 2" xfId="12449"/>
    <cellStyle name="Currency 2 5 2 2 6 2 2" xfId="12450"/>
    <cellStyle name="Currency 2 5 2 2 6 3" xfId="12451"/>
    <cellStyle name="Currency 2 5 2 2 7" xfId="12452"/>
    <cellStyle name="Currency 2 5 2 2 7 2" xfId="12453"/>
    <cellStyle name="Currency 2 5 2 2 8" xfId="12454"/>
    <cellStyle name="Currency 2 5 2 2 8 2" xfId="36412"/>
    <cellStyle name="Currency 2 5 2 2 9" xfId="12455"/>
    <cellStyle name="Currency 2 5 2 3" xfId="12456"/>
    <cellStyle name="Currency 2 5 2 3 2" xfId="12457"/>
    <cellStyle name="Currency 2 5 2 3 2 2" xfId="12458"/>
    <cellStyle name="Currency 2 5 2 3 2 2 2" xfId="12459"/>
    <cellStyle name="Currency 2 5 2 3 2 2 2 2" xfId="12460"/>
    <cellStyle name="Currency 2 5 2 3 2 2 2 3" xfId="12461"/>
    <cellStyle name="Currency 2 5 2 3 2 2 3" xfId="12462"/>
    <cellStyle name="Currency 2 5 2 3 2 2 3 2" xfId="12463"/>
    <cellStyle name="Currency 2 5 2 3 2 2 4" xfId="12464"/>
    <cellStyle name="Currency 2 5 2 3 2 3" xfId="12465"/>
    <cellStyle name="Currency 2 5 2 3 2 3 2" xfId="12466"/>
    <cellStyle name="Currency 2 5 2 3 2 3 2 2" xfId="12467"/>
    <cellStyle name="Currency 2 5 2 3 2 3 3" xfId="12468"/>
    <cellStyle name="Currency 2 5 2 3 2 4" xfId="12469"/>
    <cellStyle name="Currency 2 5 2 3 2 4 2" xfId="12470"/>
    <cellStyle name="Currency 2 5 2 3 2 4 3" xfId="12471"/>
    <cellStyle name="Currency 2 5 2 3 2 5" xfId="12472"/>
    <cellStyle name="Currency 2 5 2 3 2 5 2" xfId="12473"/>
    <cellStyle name="Currency 2 5 2 3 2 6" xfId="12474"/>
    <cellStyle name="Currency 2 5 2 3 2 6 2" xfId="36413"/>
    <cellStyle name="Currency 2 5 2 3 2 7" xfId="12475"/>
    <cellStyle name="Currency 2 5 2 3 3" xfId="12476"/>
    <cellStyle name="Currency 2 5 2 3 3 2" xfId="12477"/>
    <cellStyle name="Currency 2 5 2 3 3 2 2" xfId="12478"/>
    <cellStyle name="Currency 2 5 2 3 3 2 2 2" xfId="12479"/>
    <cellStyle name="Currency 2 5 2 3 3 2 3" xfId="12480"/>
    <cellStyle name="Currency 2 5 2 3 3 3" xfId="12481"/>
    <cellStyle name="Currency 2 5 2 3 3 3 2" xfId="12482"/>
    <cellStyle name="Currency 2 5 2 3 3 4" xfId="12483"/>
    <cellStyle name="Currency 2 5 2 3 4" xfId="12484"/>
    <cellStyle name="Currency 2 5 2 3 4 2" xfId="12485"/>
    <cellStyle name="Currency 2 5 2 3 4 2 2" xfId="12486"/>
    <cellStyle name="Currency 2 5 2 3 4 3" xfId="12487"/>
    <cellStyle name="Currency 2 5 2 3 5" xfId="12488"/>
    <cellStyle name="Currency 2 5 2 3 5 2" xfId="12489"/>
    <cellStyle name="Currency 2 5 2 3 5 2 2" xfId="12490"/>
    <cellStyle name="Currency 2 5 2 3 5 3" xfId="12491"/>
    <cellStyle name="Currency 2 5 2 3 6" xfId="12492"/>
    <cellStyle name="Currency 2 5 2 3 6 2" xfId="12493"/>
    <cellStyle name="Currency 2 5 2 3 7" xfId="12494"/>
    <cellStyle name="Currency 2 5 2 3 7 2" xfId="36414"/>
    <cellStyle name="Currency 2 5 2 3 8" xfId="12495"/>
    <cellStyle name="Currency 2 5 2 4" xfId="12496"/>
    <cellStyle name="Currency 2 5 2 4 2" xfId="12497"/>
    <cellStyle name="Currency 2 5 2 4 2 2" xfId="12498"/>
    <cellStyle name="Currency 2 5 2 4 2 2 2" xfId="12499"/>
    <cellStyle name="Currency 2 5 2 4 2 2 3" xfId="12500"/>
    <cellStyle name="Currency 2 5 2 4 2 3" xfId="12501"/>
    <cellStyle name="Currency 2 5 2 4 2 3 2" xfId="12502"/>
    <cellStyle name="Currency 2 5 2 4 2 4" xfId="12503"/>
    <cellStyle name="Currency 2 5 2 4 3" xfId="12504"/>
    <cellStyle name="Currency 2 5 2 4 3 2" xfId="12505"/>
    <cellStyle name="Currency 2 5 2 4 3 2 2" xfId="12506"/>
    <cellStyle name="Currency 2 5 2 4 3 3" xfId="12507"/>
    <cellStyle name="Currency 2 5 2 4 4" xfId="12508"/>
    <cellStyle name="Currency 2 5 2 4 4 2" xfId="12509"/>
    <cellStyle name="Currency 2 5 2 4 4 3" xfId="12510"/>
    <cellStyle name="Currency 2 5 2 4 5" xfId="12511"/>
    <cellStyle name="Currency 2 5 2 4 5 2" xfId="12512"/>
    <cellStyle name="Currency 2 5 2 4 6" xfId="12513"/>
    <cellStyle name="Currency 2 5 2 4 6 2" xfId="36415"/>
    <cellStyle name="Currency 2 5 2 4 7" xfId="12514"/>
    <cellStyle name="Currency 2 5 2 5" xfId="12515"/>
    <cellStyle name="Currency 2 5 2 5 2" xfId="12516"/>
    <cellStyle name="Currency 2 5 2 5 2 2" xfId="12517"/>
    <cellStyle name="Currency 2 5 2 5 2 2 2" xfId="12518"/>
    <cellStyle name="Currency 2 5 2 5 2 3" xfId="12519"/>
    <cellStyle name="Currency 2 5 2 5 3" xfId="12520"/>
    <cellStyle name="Currency 2 5 2 5 3 2" xfId="12521"/>
    <cellStyle name="Currency 2 5 2 5 4" xfId="12522"/>
    <cellStyle name="Currency 2 5 2 6" xfId="12523"/>
    <cellStyle name="Currency 2 5 2 6 2" xfId="12524"/>
    <cellStyle name="Currency 2 5 2 6 2 2" xfId="12525"/>
    <cellStyle name="Currency 2 5 2 6 3" xfId="12526"/>
    <cellStyle name="Currency 2 5 2 7" xfId="12527"/>
    <cellStyle name="Currency 2 5 2 7 2" xfId="12528"/>
    <cellStyle name="Currency 2 5 2 7 2 2" xfId="12529"/>
    <cellStyle name="Currency 2 5 2 7 3" xfId="12530"/>
    <cellStyle name="Currency 2 5 2 8" xfId="12531"/>
    <cellStyle name="Currency 2 5 2 8 2" xfId="12532"/>
    <cellStyle name="Currency 2 5 2 9" xfId="12533"/>
    <cellStyle name="Currency 2 5 2 9 2" xfId="36416"/>
    <cellStyle name="Currency 2 5 3" xfId="12534"/>
    <cellStyle name="Currency 2 5 3 2" xfId="12535"/>
    <cellStyle name="Currency 2 5 3 2 2" xfId="12536"/>
    <cellStyle name="Currency 2 5 3 2 2 2" xfId="12537"/>
    <cellStyle name="Currency 2 5 3 2 2 2 2" xfId="12538"/>
    <cellStyle name="Currency 2 5 3 2 2 2 2 2" xfId="12539"/>
    <cellStyle name="Currency 2 5 3 2 2 2 2 3" xfId="12540"/>
    <cellStyle name="Currency 2 5 3 2 2 2 3" xfId="12541"/>
    <cellStyle name="Currency 2 5 3 2 2 2 3 2" xfId="12542"/>
    <cellStyle name="Currency 2 5 3 2 2 2 4" xfId="12543"/>
    <cellStyle name="Currency 2 5 3 2 2 3" xfId="12544"/>
    <cellStyle name="Currency 2 5 3 2 2 3 2" xfId="12545"/>
    <cellStyle name="Currency 2 5 3 2 2 3 2 2" xfId="12546"/>
    <cellStyle name="Currency 2 5 3 2 2 3 3" xfId="12547"/>
    <cellStyle name="Currency 2 5 3 2 2 4" xfId="12548"/>
    <cellStyle name="Currency 2 5 3 2 2 4 2" xfId="12549"/>
    <cellStyle name="Currency 2 5 3 2 2 4 3" xfId="12550"/>
    <cellStyle name="Currency 2 5 3 2 2 5" xfId="12551"/>
    <cellStyle name="Currency 2 5 3 2 2 5 2" xfId="12552"/>
    <cellStyle name="Currency 2 5 3 2 2 6" xfId="12553"/>
    <cellStyle name="Currency 2 5 3 2 2 6 2" xfId="36417"/>
    <cellStyle name="Currency 2 5 3 2 2 7" xfId="12554"/>
    <cellStyle name="Currency 2 5 3 2 3" xfId="12555"/>
    <cellStyle name="Currency 2 5 3 2 3 2" xfId="12556"/>
    <cellStyle name="Currency 2 5 3 2 3 2 2" xfId="12557"/>
    <cellStyle name="Currency 2 5 3 2 3 2 2 2" xfId="12558"/>
    <cellStyle name="Currency 2 5 3 2 3 2 3" xfId="12559"/>
    <cellStyle name="Currency 2 5 3 2 3 3" xfId="12560"/>
    <cellStyle name="Currency 2 5 3 2 3 3 2" xfId="12561"/>
    <cellStyle name="Currency 2 5 3 2 3 4" xfId="12562"/>
    <cellStyle name="Currency 2 5 3 2 4" xfId="12563"/>
    <cellStyle name="Currency 2 5 3 2 4 2" xfId="12564"/>
    <cellStyle name="Currency 2 5 3 2 4 2 2" xfId="12565"/>
    <cellStyle name="Currency 2 5 3 2 4 3" xfId="12566"/>
    <cellStyle name="Currency 2 5 3 2 5" xfId="12567"/>
    <cellStyle name="Currency 2 5 3 2 5 2" xfId="12568"/>
    <cellStyle name="Currency 2 5 3 2 5 2 2" xfId="12569"/>
    <cellStyle name="Currency 2 5 3 2 5 3" xfId="12570"/>
    <cellStyle name="Currency 2 5 3 2 6" xfId="12571"/>
    <cellStyle name="Currency 2 5 3 2 6 2" xfId="12572"/>
    <cellStyle name="Currency 2 5 3 2 7" xfId="12573"/>
    <cellStyle name="Currency 2 5 3 2 7 2" xfId="36418"/>
    <cellStyle name="Currency 2 5 3 2 8" xfId="12574"/>
    <cellStyle name="Currency 2 5 3 3" xfId="12575"/>
    <cellStyle name="Currency 2 5 3 3 2" xfId="12576"/>
    <cellStyle name="Currency 2 5 3 3 2 2" xfId="12577"/>
    <cellStyle name="Currency 2 5 3 3 2 2 2" xfId="12578"/>
    <cellStyle name="Currency 2 5 3 3 2 2 3" xfId="12579"/>
    <cellStyle name="Currency 2 5 3 3 2 3" xfId="12580"/>
    <cellStyle name="Currency 2 5 3 3 2 3 2" xfId="12581"/>
    <cellStyle name="Currency 2 5 3 3 2 4" xfId="12582"/>
    <cellStyle name="Currency 2 5 3 3 3" xfId="12583"/>
    <cellStyle name="Currency 2 5 3 3 3 2" xfId="12584"/>
    <cellStyle name="Currency 2 5 3 3 3 2 2" xfId="12585"/>
    <cellStyle name="Currency 2 5 3 3 3 3" xfId="12586"/>
    <cellStyle name="Currency 2 5 3 3 4" xfId="12587"/>
    <cellStyle name="Currency 2 5 3 3 4 2" xfId="12588"/>
    <cellStyle name="Currency 2 5 3 3 4 3" xfId="12589"/>
    <cellStyle name="Currency 2 5 3 3 5" xfId="12590"/>
    <cellStyle name="Currency 2 5 3 3 5 2" xfId="12591"/>
    <cellStyle name="Currency 2 5 3 3 6" xfId="12592"/>
    <cellStyle name="Currency 2 5 3 3 6 2" xfId="36419"/>
    <cellStyle name="Currency 2 5 3 3 7" xfId="12593"/>
    <cellStyle name="Currency 2 5 3 4" xfId="12594"/>
    <cellStyle name="Currency 2 5 3 4 2" xfId="12595"/>
    <cellStyle name="Currency 2 5 3 4 2 2" xfId="12596"/>
    <cellStyle name="Currency 2 5 3 4 2 2 2" xfId="12597"/>
    <cellStyle name="Currency 2 5 3 4 2 3" xfId="12598"/>
    <cellStyle name="Currency 2 5 3 4 3" xfId="12599"/>
    <cellStyle name="Currency 2 5 3 4 3 2" xfId="12600"/>
    <cellStyle name="Currency 2 5 3 4 4" xfId="12601"/>
    <cellStyle name="Currency 2 5 3 5" xfId="12602"/>
    <cellStyle name="Currency 2 5 3 5 2" xfId="12603"/>
    <cellStyle name="Currency 2 5 3 5 2 2" xfId="12604"/>
    <cellStyle name="Currency 2 5 3 5 3" xfId="12605"/>
    <cellStyle name="Currency 2 5 3 6" xfId="12606"/>
    <cellStyle name="Currency 2 5 3 6 2" xfId="12607"/>
    <cellStyle name="Currency 2 5 3 6 2 2" xfId="12608"/>
    <cellStyle name="Currency 2 5 3 6 3" xfId="12609"/>
    <cellStyle name="Currency 2 5 3 7" xfId="12610"/>
    <cellStyle name="Currency 2 5 3 7 2" xfId="12611"/>
    <cellStyle name="Currency 2 5 3 8" xfId="12612"/>
    <cellStyle name="Currency 2 5 3 8 2" xfId="36420"/>
    <cellStyle name="Currency 2 5 3 9" xfId="12613"/>
    <cellStyle name="Currency 2 5 4" xfId="12614"/>
    <cellStyle name="Currency 2 5 4 2" xfId="12615"/>
    <cellStyle name="Currency 2 5 4 2 2" xfId="12616"/>
    <cellStyle name="Currency 2 5 4 2 2 2" xfId="12617"/>
    <cellStyle name="Currency 2 5 4 2 2 2 2" xfId="12618"/>
    <cellStyle name="Currency 2 5 4 2 2 2 2 2" xfId="12619"/>
    <cellStyle name="Currency 2 5 4 2 2 2 2 3" xfId="12620"/>
    <cellStyle name="Currency 2 5 4 2 2 2 3" xfId="12621"/>
    <cellStyle name="Currency 2 5 4 2 2 2 3 2" xfId="12622"/>
    <cellStyle name="Currency 2 5 4 2 2 2 4" xfId="12623"/>
    <cellStyle name="Currency 2 5 4 2 2 3" xfId="12624"/>
    <cellStyle name="Currency 2 5 4 2 2 3 2" xfId="12625"/>
    <cellStyle name="Currency 2 5 4 2 2 3 2 2" xfId="12626"/>
    <cellStyle name="Currency 2 5 4 2 2 3 3" xfId="12627"/>
    <cellStyle name="Currency 2 5 4 2 2 4" xfId="12628"/>
    <cellStyle name="Currency 2 5 4 2 2 4 2" xfId="12629"/>
    <cellStyle name="Currency 2 5 4 2 2 4 3" xfId="12630"/>
    <cellStyle name="Currency 2 5 4 2 2 5" xfId="12631"/>
    <cellStyle name="Currency 2 5 4 2 2 5 2" xfId="12632"/>
    <cellStyle name="Currency 2 5 4 2 2 6" xfId="12633"/>
    <cellStyle name="Currency 2 5 4 2 2 6 2" xfId="36421"/>
    <cellStyle name="Currency 2 5 4 2 2 7" xfId="12634"/>
    <cellStyle name="Currency 2 5 4 2 3" xfId="12635"/>
    <cellStyle name="Currency 2 5 4 2 3 2" xfId="12636"/>
    <cellStyle name="Currency 2 5 4 2 3 2 2" xfId="12637"/>
    <cellStyle name="Currency 2 5 4 2 3 2 2 2" xfId="12638"/>
    <cellStyle name="Currency 2 5 4 2 3 2 3" xfId="12639"/>
    <cellStyle name="Currency 2 5 4 2 3 3" xfId="12640"/>
    <cellStyle name="Currency 2 5 4 2 3 3 2" xfId="12641"/>
    <cellStyle name="Currency 2 5 4 2 3 4" xfId="12642"/>
    <cellStyle name="Currency 2 5 4 2 4" xfId="12643"/>
    <cellStyle name="Currency 2 5 4 2 4 2" xfId="12644"/>
    <cellStyle name="Currency 2 5 4 2 4 2 2" xfId="12645"/>
    <cellStyle name="Currency 2 5 4 2 4 3" xfId="12646"/>
    <cellStyle name="Currency 2 5 4 2 5" xfId="12647"/>
    <cellStyle name="Currency 2 5 4 2 5 2" xfId="12648"/>
    <cellStyle name="Currency 2 5 4 2 5 2 2" xfId="12649"/>
    <cellStyle name="Currency 2 5 4 2 5 3" xfId="12650"/>
    <cellStyle name="Currency 2 5 4 2 6" xfId="12651"/>
    <cellStyle name="Currency 2 5 4 2 6 2" xfId="12652"/>
    <cellStyle name="Currency 2 5 4 2 7" xfId="12653"/>
    <cellStyle name="Currency 2 5 4 2 7 2" xfId="36422"/>
    <cellStyle name="Currency 2 5 4 2 8" xfId="12654"/>
    <cellStyle name="Currency 2 5 4 3" xfId="12655"/>
    <cellStyle name="Currency 2 5 4 3 2" xfId="12656"/>
    <cellStyle name="Currency 2 5 4 3 2 2" xfId="12657"/>
    <cellStyle name="Currency 2 5 4 3 2 2 2" xfId="12658"/>
    <cellStyle name="Currency 2 5 4 3 2 2 3" xfId="12659"/>
    <cellStyle name="Currency 2 5 4 3 2 3" xfId="12660"/>
    <cellStyle name="Currency 2 5 4 3 2 3 2" xfId="12661"/>
    <cellStyle name="Currency 2 5 4 3 2 4" xfId="12662"/>
    <cellStyle name="Currency 2 5 4 3 3" xfId="12663"/>
    <cellStyle name="Currency 2 5 4 3 3 2" xfId="12664"/>
    <cellStyle name="Currency 2 5 4 3 3 2 2" xfId="12665"/>
    <cellStyle name="Currency 2 5 4 3 3 3" xfId="12666"/>
    <cellStyle name="Currency 2 5 4 3 4" xfId="12667"/>
    <cellStyle name="Currency 2 5 4 3 4 2" xfId="12668"/>
    <cellStyle name="Currency 2 5 4 3 4 3" xfId="12669"/>
    <cellStyle name="Currency 2 5 4 3 5" xfId="12670"/>
    <cellStyle name="Currency 2 5 4 3 5 2" xfId="12671"/>
    <cellStyle name="Currency 2 5 4 3 6" xfId="12672"/>
    <cellStyle name="Currency 2 5 4 3 6 2" xfId="36423"/>
    <cellStyle name="Currency 2 5 4 3 7" xfId="12673"/>
    <cellStyle name="Currency 2 5 4 4" xfId="12674"/>
    <cellStyle name="Currency 2 5 4 4 2" xfId="12675"/>
    <cellStyle name="Currency 2 5 4 4 2 2" xfId="12676"/>
    <cellStyle name="Currency 2 5 4 4 2 2 2" xfId="12677"/>
    <cellStyle name="Currency 2 5 4 4 2 3" xfId="12678"/>
    <cellStyle name="Currency 2 5 4 4 3" xfId="12679"/>
    <cellStyle name="Currency 2 5 4 4 3 2" xfId="12680"/>
    <cellStyle name="Currency 2 5 4 4 4" xfId="12681"/>
    <cellStyle name="Currency 2 5 4 5" xfId="12682"/>
    <cellStyle name="Currency 2 5 4 5 2" xfId="12683"/>
    <cellStyle name="Currency 2 5 4 5 2 2" xfId="12684"/>
    <cellStyle name="Currency 2 5 4 5 3" xfId="12685"/>
    <cellStyle name="Currency 2 5 4 6" xfId="12686"/>
    <cellStyle name="Currency 2 5 4 6 2" xfId="12687"/>
    <cellStyle name="Currency 2 5 4 6 2 2" xfId="12688"/>
    <cellStyle name="Currency 2 5 4 6 3" xfId="12689"/>
    <cellStyle name="Currency 2 5 4 7" xfId="12690"/>
    <cellStyle name="Currency 2 5 4 7 2" xfId="12691"/>
    <cellStyle name="Currency 2 5 4 8" xfId="12692"/>
    <cellStyle name="Currency 2 5 4 8 2" xfId="36424"/>
    <cellStyle name="Currency 2 5 4 9" xfId="12693"/>
    <cellStyle name="Currency 2 5 5" xfId="12694"/>
    <cellStyle name="Currency 2 5 5 2" xfId="12695"/>
    <cellStyle name="Currency 2 5 5 2 2" xfId="12696"/>
    <cellStyle name="Currency 2 5 5 2 2 2" xfId="12697"/>
    <cellStyle name="Currency 2 5 5 2 2 2 2" xfId="12698"/>
    <cellStyle name="Currency 2 5 5 2 2 2 3" xfId="12699"/>
    <cellStyle name="Currency 2 5 5 2 2 3" xfId="12700"/>
    <cellStyle name="Currency 2 5 5 2 2 3 2" xfId="12701"/>
    <cellStyle name="Currency 2 5 5 2 2 4" xfId="12702"/>
    <cellStyle name="Currency 2 5 5 2 3" xfId="12703"/>
    <cellStyle name="Currency 2 5 5 2 3 2" xfId="12704"/>
    <cellStyle name="Currency 2 5 5 2 3 2 2" xfId="12705"/>
    <cellStyle name="Currency 2 5 5 2 3 3" xfId="12706"/>
    <cellStyle name="Currency 2 5 5 2 4" xfId="12707"/>
    <cellStyle name="Currency 2 5 5 2 4 2" xfId="12708"/>
    <cellStyle name="Currency 2 5 5 2 4 3" xfId="12709"/>
    <cellStyle name="Currency 2 5 5 2 5" xfId="12710"/>
    <cellStyle name="Currency 2 5 5 2 5 2" xfId="12711"/>
    <cellStyle name="Currency 2 5 5 2 6" xfId="12712"/>
    <cellStyle name="Currency 2 5 5 2 6 2" xfId="36425"/>
    <cellStyle name="Currency 2 5 5 2 7" xfId="12713"/>
    <cellStyle name="Currency 2 5 5 3" xfId="12714"/>
    <cellStyle name="Currency 2 5 5 3 2" xfId="12715"/>
    <cellStyle name="Currency 2 5 5 3 2 2" xfId="12716"/>
    <cellStyle name="Currency 2 5 5 3 2 2 2" xfId="12717"/>
    <cellStyle name="Currency 2 5 5 3 2 3" xfId="12718"/>
    <cellStyle name="Currency 2 5 5 3 3" xfId="12719"/>
    <cellStyle name="Currency 2 5 5 3 3 2" xfId="12720"/>
    <cellStyle name="Currency 2 5 5 3 4" xfId="12721"/>
    <cellStyle name="Currency 2 5 5 4" xfId="12722"/>
    <cellStyle name="Currency 2 5 5 4 2" xfId="12723"/>
    <cellStyle name="Currency 2 5 5 4 2 2" xfId="12724"/>
    <cellStyle name="Currency 2 5 5 4 3" xfId="12725"/>
    <cellStyle name="Currency 2 5 5 5" xfId="12726"/>
    <cellStyle name="Currency 2 5 5 5 2" xfId="12727"/>
    <cellStyle name="Currency 2 5 5 5 2 2" xfId="12728"/>
    <cellStyle name="Currency 2 5 5 5 3" xfId="12729"/>
    <cellStyle name="Currency 2 5 5 6" xfId="12730"/>
    <cellStyle name="Currency 2 5 5 6 2" xfId="12731"/>
    <cellStyle name="Currency 2 5 5 7" xfId="12732"/>
    <cellStyle name="Currency 2 5 5 7 2" xfId="36426"/>
    <cellStyle name="Currency 2 5 5 8" xfId="12733"/>
    <cellStyle name="Currency 2 5 6" xfId="12734"/>
    <cellStyle name="Currency 2 5 6 2" xfId="12735"/>
    <cellStyle name="Currency 2 5 6 2 2" xfId="12736"/>
    <cellStyle name="Currency 2 5 6 2 2 2" xfId="12737"/>
    <cellStyle name="Currency 2 5 6 2 2 2 2" xfId="12738"/>
    <cellStyle name="Currency 2 5 6 2 2 2 3" xfId="12739"/>
    <cellStyle name="Currency 2 5 6 2 2 3" xfId="12740"/>
    <cellStyle name="Currency 2 5 6 2 2 3 2" xfId="12741"/>
    <cellStyle name="Currency 2 5 6 2 2 4" xfId="12742"/>
    <cellStyle name="Currency 2 5 6 2 3" xfId="12743"/>
    <cellStyle name="Currency 2 5 6 2 3 2" xfId="12744"/>
    <cellStyle name="Currency 2 5 6 2 3 2 2" xfId="12745"/>
    <cellStyle name="Currency 2 5 6 2 3 3" xfId="12746"/>
    <cellStyle name="Currency 2 5 6 2 4" xfId="12747"/>
    <cellStyle name="Currency 2 5 6 2 4 2" xfId="12748"/>
    <cellStyle name="Currency 2 5 6 2 4 3" xfId="12749"/>
    <cellStyle name="Currency 2 5 6 2 5" xfId="12750"/>
    <cellStyle name="Currency 2 5 6 2 5 2" xfId="12751"/>
    <cellStyle name="Currency 2 5 6 2 6" xfId="12752"/>
    <cellStyle name="Currency 2 5 6 2 6 2" xfId="36427"/>
    <cellStyle name="Currency 2 5 6 2 7" xfId="12753"/>
    <cellStyle name="Currency 2 5 6 3" xfId="12754"/>
    <cellStyle name="Currency 2 5 6 3 2" xfId="12755"/>
    <cellStyle name="Currency 2 5 6 3 2 2" xfId="12756"/>
    <cellStyle name="Currency 2 5 6 3 2 2 2" xfId="12757"/>
    <cellStyle name="Currency 2 5 6 3 2 3" xfId="12758"/>
    <cellStyle name="Currency 2 5 6 3 3" xfId="12759"/>
    <cellStyle name="Currency 2 5 6 3 3 2" xfId="12760"/>
    <cellStyle name="Currency 2 5 6 3 4" xfId="12761"/>
    <cellStyle name="Currency 2 5 6 4" xfId="12762"/>
    <cellStyle name="Currency 2 5 6 4 2" xfId="12763"/>
    <cellStyle name="Currency 2 5 6 4 2 2" xfId="12764"/>
    <cellStyle name="Currency 2 5 6 4 3" xfId="12765"/>
    <cellStyle name="Currency 2 5 6 5" xfId="12766"/>
    <cellStyle name="Currency 2 5 6 5 2" xfId="12767"/>
    <cellStyle name="Currency 2 5 6 5 2 2" xfId="12768"/>
    <cellStyle name="Currency 2 5 6 5 3" xfId="12769"/>
    <cellStyle name="Currency 2 5 6 6" xfId="12770"/>
    <cellStyle name="Currency 2 5 6 6 2" xfId="12771"/>
    <cellStyle name="Currency 2 5 6 7" xfId="12772"/>
    <cellStyle name="Currency 2 5 6 7 2" xfId="36428"/>
    <cellStyle name="Currency 2 5 6 8" xfId="12773"/>
    <cellStyle name="Currency 2 5 7" xfId="12774"/>
    <cellStyle name="Currency 2 5 7 2" xfId="12775"/>
    <cellStyle name="Currency 2 5 7 2 2" xfId="12776"/>
    <cellStyle name="Currency 2 5 7 2 2 2" xfId="12777"/>
    <cellStyle name="Currency 2 5 7 2 2 2 2" xfId="12778"/>
    <cellStyle name="Currency 2 5 7 2 2 2 3" xfId="12779"/>
    <cellStyle name="Currency 2 5 7 2 2 3" xfId="12780"/>
    <cellStyle name="Currency 2 5 7 2 2 3 2" xfId="12781"/>
    <cellStyle name="Currency 2 5 7 2 2 4" xfId="12782"/>
    <cellStyle name="Currency 2 5 7 2 3" xfId="12783"/>
    <cellStyle name="Currency 2 5 7 2 3 2" xfId="12784"/>
    <cellStyle name="Currency 2 5 7 2 3 2 2" xfId="12785"/>
    <cellStyle name="Currency 2 5 7 2 3 3" xfId="12786"/>
    <cellStyle name="Currency 2 5 7 2 4" xfId="12787"/>
    <cellStyle name="Currency 2 5 7 2 4 2" xfId="12788"/>
    <cellStyle name="Currency 2 5 7 2 4 3" xfId="12789"/>
    <cellStyle name="Currency 2 5 7 2 5" xfId="12790"/>
    <cellStyle name="Currency 2 5 7 2 5 2" xfId="12791"/>
    <cellStyle name="Currency 2 5 7 2 6" xfId="12792"/>
    <cellStyle name="Currency 2 5 7 2 6 2" xfId="36429"/>
    <cellStyle name="Currency 2 5 7 2 7" xfId="12793"/>
    <cellStyle name="Currency 2 5 7 3" xfId="12794"/>
    <cellStyle name="Currency 2 5 7 3 2" xfId="12795"/>
    <cellStyle name="Currency 2 5 7 3 2 2" xfId="12796"/>
    <cellStyle name="Currency 2 5 7 3 2 2 2" xfId="12797"/>
    <cellStyle name="Currency 2 5 7 3 2 3" xfId="12798"/>
    <cellStyle name="Currency 2 5 7 3 3" xfId="12799"/>
    <cellStyle name="Currency 2 5 7 3 3 2" xfId="12800"/>
    <cellStyle name="Currency 2 5 7 3 4" xfId="12801"/>
    <cellStyle name="Currency 2 5 7 4" xfId="12802"/>
    <cellStyle name="Currency 2 5 7 4 2" xfId="12803"/>
    <cellStyle name="Currency 2 5 7 4 2 2" xfId="12804"/>
    <cellStyle name="Currency 2 5 7 4 3" xfId="12805"/>
    <cellStyle name="Currency 2 5 7 5" xfId="12806"/>
    <cellStyle name="Currency 2 5 7 5 2" xfId="12807"/>
    <cellStyle name="Currency 2 5 7 5 2 2" xfId="12808"/>
    <cellStyle name="Currency 2 5 7 5 3" xfId="12809"/>
    <cellStyle name="Currency 2 5 7 6" xfId="12810"/>
    <cellStyle name="Currency 2 5 7 6 2" xfId="12811"/>
    <cellStyle name="Currency 2 5 7 7" xfId="12812"/>
    <cellStyle name="Currency 2 5 7 7 2" xfId="36430"/>
    <cellStyle name="Currency 2 5 7 8" xfId="12813"/>
    <cellStyle name="Currency 2 5 8" xfId="12814"/>
    <cellStyle name="Currency 2 5 8 2" xfId="12815"/>
    <cellStyle name="Currency 2 5 8 2 2" xfId="12816"/>
    <cellStyle name="Currency 2 5 8 2 2 2" xfId="12817"/>
    <cellStyle name="Currency 2 5 8 2 2 3" xfId="12818"/>
    <cellStyle name="Currency 2 5 8 2 3" xfId="12819"/>
    <cellStyle name="Currency 2 5 8 2 3 2" xfId="12820"/>
    <cellStyle name="Currency 2 5 8 2 4" xfId="12821"/>
    <cellStyle name="Currency 2 5 8 3" xfId="12822"/>
    <cellStyle name="Currency 2 5 8 3 2" xfId="12823"/>
    <cellStyle name="Currency 2 5 8 3 2 2" xfId="12824"/>
    <cellStyle name="Currency 2 5 8 3 3" xfId="12825"/>
    <cellStyle name="Currency 2 5 8 4" xfId="12826"/>
    <cellStyle name="Currency 2 5 8 4 2" xfId="12827"/>
    <cellStyle name="Currency 2 5 8 4 3" xfId="12828"/>
    <cellStyle name="Currency 2 5 8 5" xfId="12829"/>
    <cellStyle name="Currency 2 5 8 5 2" xfId="12830"/>
    <cellStyle name="Currency 2 5 8 6" xfId="12831"/>
    <cellStyle name="Currency 2 5 8 6 2" xfId="36431"/>
    <cellStyle name="Currency 2 5 8 7" xfId="12832"/>
    <cellStyle name="Currency 2 5 9" xfId="12833"/>
    <cellStyle name="Currency 2 5 9 2" xfId="12834"/>
    <cellStyle name="Currency 2 5 9 2 2" xfId="12835"/>
    <cellStyle name="Currency 2 5 9 2 2 2" xfId="12836"/>
    <cellStyle name="Currency 2 5 9 2 3" xfId="12837"/>
    <cellStyle name="Currency 2 5 9 3" xfId="12838"/>
    <cellStyle name="Currency 2 5 9 3 2" xfId="12839"/>
    <cellStyle name="Currency 2 5 9 4" xfId="12840"/>
    <cellStyle name="Currency 2 6" xfId="12841"/>
    <cellStyle name="Currency 2 6 10" xfId="12842"/>
    <cellStyle name="Currency 2 6 10 2" xfId="12843"/>
    <cellStyle name="Currency 2 6 10 2 2" xfId="12844"/>
    <cellStyle name="Currency 2 6 10 3" xfId="12845"/>
    <cellStyle name="Currency 2 6 11" xfId="12846"/>
    <cellStyle name="Currency 2 6 11 2" xfId="12847"/>
    <cellStyle name="Currency 2 6 12" xfId="12848"/>
    <cellStyle name="Currency 2 6 12 2" xfId="36432"/>
    <cellStyle name="Currency 2 6 13" xfId="12849"/>
    <cellStyle name="Currency 2 6 2" xfId="12850"/>
    <cellStyle name="Currency 2 6 2 10" xfId="12851"/>
    <cellStyle name="Currency 2 6 2 2" xfId="12852"/>
    <cellStyle name="Currency 2 6 2 2 2" xfId="12853"/>
    <cellStyle name="Currency 2 6 2 2 2 2" xfId="12854"/>
    <cellStyle name="Currency 2 6 2 2 2 2 2" xfId="12855"/>
    <cellStyle name="Currency 2 6 2 2 2 2 2 2" xfId="12856"/>
    <cellStyle name="Currency 2 6 2 2 2 2 2 2 2" xfId="12857"/>
    <cellStyle name="Currency 2 6 2 2 2 2 2 2 3" xfId="12858"/>
    <cellStyle name="Currency 2 6 2 2 2 2 2 3" xfId="12859"/>
    <cellStyle name="Currency 2 6 2 2 2 2 2 3 2" xfId="12860"/>
    <cellStyle name="Currency 2 6 2 2 2 2 2 4" xfId="12861"/>
    <cellStyle name="Currency 2 6 2 2 2 2 3" xfId="12862"/>
    <cellStyle name="Currency 2 6 2 2 2 2 3 2" xfId="12863"/>
    <cellStyle name="Currency 2 6 2 2 2 2 3 2 2" xfId="12864"/>
    <cellStyle name="Currency 2 6 2 2 2 2 3 3" xfId="12865"/>
    <cellStyle name="Currency 2 6 2 2 2 2 4" xfId="12866"/>
    <cellStyle name="Currency 2 6 2 2 2 2 4 2" xfId="12867"/>
    <cellStyle name="Currency 2 6 2 2 2 2 4 3" xfId="12868"/>
    <cellStyle name="Currency 2 6 2 2 2 2 5" xfId="12869"/>
    <cellStyle name="Currency 2 6 2 2 2 2 5 2" xfId="12870"/>
    <cellStyle name="Currency 2 6 2 2 2 2 6" xfId="12871"/>
    <cellStyle name="Currency 2 6 2 2 2 2 6 2" xfId="36433"/>
    <cellStyle name="Currency 2 6 2 2 2 2 7" xfId="12872"/>
    <cellStyle name="Currency 2 6 2 2 2 3" xfId="12873"/>
    <cellStyle name="Currency 2 6 2 2 2 3 2" xfId="12874"/>
    <cellStyle name="Currency 2 6 2 2 2 3 2 2" xfId="12875"/>
    <cellStyle name="Currency 2 6 2 2 2 3 2 2 2" xfId="12876"/>
    <cellStyle name="Currency 2 6 2 2 2 3 2 3" xfId="12877"/>
    <cellStyle name="Currency 2 6 2 2 2 3 3" xfId="12878"/>
    <cellStyle name="Currency 2 6 2 2 2 3 3 2" xfId="12879"/>
    <cellStyle name="Currency 2 6 2 2 2 3 4" xfId="12880"/>
    <cellStyle name="Currency 2 6 2 2 2 4" xfId="12881"/>
    <cellStyle name="Currency 2 6 2 2 2 4 2" xfId="12882"/>
    <cellStyle name="Currency 2 6 2 2 2 4 2 2" xfId="12883"/>
    <cellStyle name="Currency 2 6 2 2 2 4 3" xfId="12884"/>
    <cellStyle name="Currency 2 6 2 2 2 5" xfId="12885"/>
    <cellStyle name="Currency 2 6 2 2 2 5 2" xfId="12886"/>
    <cellStyle name="Currency 2 6 2 2 2 5 2 2" xfId="12887"/>
    <cellStyle name="Currency 2 6 2 2 2 5 3" xfId="12888"/>
    <cellStyle name="Currency 2 6 2 2 2 6" xfId="12889"/>
    <cellStyle name="Currency 2 6 2 2 2 6 2" xfId="12890"/>
    <cellStyle name="Currency 2 6 2 2 2 7" xfId="12891"/>
    <cellStyle name="Currency 2 6 2 2 2 7 2" xfId="36434"/>
    <cellStyle name="Currency 2 6 2 2 2 8" xfId="12892"/>
    <cellStyle name="Currency 2 6 2 2 3" xfId="12893"/>
    <cellStyle name="Currency 2 6 2 2 3 2" xfId="12894"/>
    <cellStyle name="Currency 2 6 2 2 3 2 2" xfId="12895"/>
    <cellStyle name="Currency 2 6 2 2 3 2 2 2" xfId="12896"/>
    <cellStyle name="Currency 2 6 2 2 3 2 2 3" xfId="12897"/>
    <cellStyle name="Currency 2 6 2 2 3 2 3" xfId="12898"/>
    <cellStyle name="Currency 2 6 2 2 3 2 3 2" xfId="12899"/>
    <cellStyle name="Currency 2 6 2 2 3 2 4" xfId="12900"/>
    <cellStyle name="Currency 2 6 2 2 3 3" xfId="12901"/>
    <cellStyle name="Currency 2 6 2 2 3 3 2" xfId="12902"/>
    <cellStyle name="Currency 2 6 2 2 3 3 2 2" xfId="12903"/>
    <cellStyle name="Currency 2 6 2 2 3 3 3" xfId="12904"/>
    <cellStyle name="Currency 2 6 2 2 3 4" xfId="12905"/>
    <cellStyle name="Currency 2 6 2 2 3 4 2" xfId="12906"/>
    <cellStyle name="Currency 2 6 2 2 3 4 3" xfId="12907"/>
    <cellStyle name="Currency 2 6 2 2 3 5" xfId="12908"/>
    <cellStyle name="Currency 2 6 2 2 3 5 2" xfId="12909"/>
    <cellStyle name="Currency 2 6 2 2 3 6" xfId="12910"/>
    <cellStyle name="Currency 2 6 2 2 3 6 2" xfId="36435"/>
    <cellStyle name="Currency 2 6 2 2 3 7" xfId="12911"/>
    <cellStyle name="Currency 2 6 2 2 4" xfId="12912"/>
    <cellStyle name="Currency 2 6 2 2 4 2" xfId="12913"/>
    <cellStyle name="Currency 2 6 2 2 4 2 2" xfId="12914"/>
    <cellStyle name="Currency 2 6 2 2 4 2 2 2" xfId="12915"/>
    <cellStyle name="Currency 2 6 2 2 4 2 3" xfId="12916"/>
    <cellStyle name="Currency 2 6 2 2 4 3" xfId="12917"/>
    <cellStyle name="Currency 2 6 2 2 4 3 2" xfId="12918"/>
    <cellStyle name="Currency 2 6 2 2 4 4" xfId="12919"/>
    <cellStyle name="Currency 2 6 2 2 5" xfId="12920"/>
    <cellStyle name="Currency 2 6 2 2 5 2" xfId="12921"/>
    <cellStyle name="Currency 2 6 2 2 5 2 2" xfId="12922"/>
    <cellStyle name="Currency 2 6 2 2 5 3" xfId="12923"/>
    <cellStyle name="Currency 2 6 2 2 6" xfId="12924"/>
    <cellStyle name="Currency 2 6 2 2 6 2" xfId="12925"/>
    <cellStyle name="Currency 2 6 2 2 6 2 2" xfId="12926"/>
    <cellStyle name="Currency 2 6 2 2 6 3" xfId="12927"/>
    <cellStyle name="Currency 2 6 2 2 7" xfId="12928"/>
    <cellStyle name="Currency 2 6 2 2 7 2" xfId="12929"/>
    <cellStyle name="Currency 2 6 2 2 8" xfId="12930"/>
    <cellStyle name="Currency 2 6 2 2 8 2" xfId="36436"/>
    <cellStyle name="Currency 2 6 2 2 9" xfId="12931"/>
    <cellStyle name="Currency 2 6 2 3" xfId="12932"/>
    <cellStyle name="Currency 2 6 2 3 2" xfId="12933"/>
    <cellStyle name="Currency 2 6 2 3 2 2" xfId="12934"/>
    <cellStyle name="Currency 2 6 2 3 2 2 2" xfId="12935"/>
    <cellStyle name="Currency 2 6 2 3 2 2 2 2" xfId="12936"/>
    <cellStyle name="Currency 2 6 2 3 2 2 2 3" xfId="12937"/>
    <cellStyle name="Currency 2 6 2 3 2 2 3" xfId="12938"/>
    <cellStyle name="Currency 2 6 2 3 2 2 3 2" xfId="12939"/>
    <cellStyle name="Currency 2 6 2 3 2 2 4" xfId="12940"/>
    <cellStyle name="Currency 2 6 2 3 2 3" xfId="12941"/>
    <cellStyle name="Currency 2 6 2 3 2 3 2" xfId="12942"/>
    <cellStyle name="Currency 2 6 2 3 2 3 2 2" xfId="12943"/>
    <cellStyle name="Currency 2 6 2 3 2 3 3" xfId="12944"/>
    <cellStyle name="Currency 2 6 2 3 2 4" xfId="12945"/>
    <cellStyle name="Currency 2 6 2 3 2 4 2" xfId="12946"/>
    <cellStyle name="Currency 2 6 2 3 2 4 3" xfId="12947"/>
    <cellStyle name="Currency 2 6 2 3 2 5" xfId="12948"/>
    <cellStyle name="Currency 2 6 2 3 2 5 2" xfId="12949"/>
    <cellStyle name="Currency 2 6 2 3 2 6" xfId="12950"/>
    <cellStyle name="Currency 2 6 2 3 2 6 2" xfId="36437"/>
    <cellStyle name="Currency 2 6 2 3 2 7" xfId="12951"/>
    <cellStyle name="Currency 2 6 2 3 3" xfId="12952"/>
    <cellStyle name="Currency 2 6 2 3 3 2" xfId="12953"/>
    <cellStyle name="Currency 2 6 2 3 3 2 2" xfId="12954"/>
    <cellStyle name="Currency 2 6 2 3 3 2 2 2" xfId="12955"/>
    <cellStyle name="Currency 2 6 2 3 3 2 3" xfId="12956"/>
    <cellStyle name="Currency 2 6 2 3 3 3" xfId="12957"/>
    <cellStyle name="Currency 2 6 2 3 3 3 2" xfId="12958"/>
    <cellStyle name="Currency 2 6 2 3 3 4" xfId="12959"/>
    <cellStyle name="Currency 2 6 2 3 4" xfId="12960"/>
    <cellStyle name="Currency 2 6 2 3 4 2" xfId="12961"/>
    <cellStyle name="Currency 2 6 2 3 4 2 2" xfId="12962"/>
    <cellStyle name="Currency 2 6 2 3 4 3" xfId="12963"/>
    <cellStyle name="Currency 2 6 2 3 5" xfId="12964"/>
    <cellStyle name="Currency 2 6 2 3 5 2" xfId="12965"/>
    <cellStyle name="Currency 2 6 2 3 5 2 2" xfId="12966"/>
    <cellStyle name="Currency 2 6 2 3 5 3" xfId="12967"/>
    <cellStyle name="Currency 2 6 2 3 6" xfId="12968"/>
    <cellStyle name="Currency 2 6 2 3 6 2" xfId="12969"/>
    <cellStyle name="Currency 2 6 2 3 7" xfId="12970"/>
    <cellStyle name="Currency 2 6 2 3 7 2" xfId="36438"/>
    <cellStyle name="Currency 2 6 2 3 8" xfId="12971"/>
    <cellStyle name="Currency 2 6 2 4" xfId="12972"/>
    <cellStyle name="Currency 2 6 2 4 2" xfId="12973"/>
    <cellStyle name="Currency 2 6 2 4 2 2" xfId="12974"/>
    <cellStyle name="Currency 2 6 2 4 2 2 2" xfId="12975"/>
    <cellStyle name="Currency 2 6 2 4 2 2 3" xfId="12976"/>
    <cellStyle name="Currency 2 6 2 4 2 3" xfId="12977"/>
    <cellStyle name="Currency 2 6 2 4 2 3 2" xfId="12978"/>
    <cellStyle name="Currency 2 6 2 4 2 4" xfId="12979"/>
    <cellStyle name="Currency 2 6 2 4 3" xfId="12980"/>
    <cellStyle name="Currency 2 6 2 4 3 2" xfId="12981"/>
    <cellStyle name="Currency 2 6 2 4 3 2 2" xfId="12982"/>
    <cellStyle name="Currency 2 6 2 4 3 3" xfId="12983"/>
    <cellStyle name="Currency 2 6 2 4 4" xfId="12984"/>
    <cellStyle name="Currency 2 6 2 4 4 2" xfId="12985"/>
    <cellStyle name="Currency 2 6 2 4 4 3" xfId="12986"/>
    <cellStyle name="Currency 2 6 2 4 5" xfId="12987"/>
    <cellStyle name="Currency 2 6 2 4 5 2" xfId="12988"/>
    <cellStyle name="Currency 2 6 2 4 6" xfId="12989"/>
    <cellStyle name="Currency 2 6 2 4 6 2" xfId="36439"/>
    <cellStyle name="Currency 2 6 2 4 7" xfId="12990"/>
    <cellStyle name="Currency 2 6 2 5" xfId="12991"/>
    <cellStyle name="Currency 2 6 2 5 2" xfId="12992"/>
    <cellStyle name="Currency 2 6 2 5 2 2" xfId="12993"/>
    <cellStyle name="Currency 2 6 2 5 2 2 2" xfId="12994"/>
    <cellStyle name="Currency 2 6 2 5 2 3" xfId="12995"/>
    <cellStyle name="Currency 2 6 2 5 3" xfId="12996"/>
    <cellStyle name="Currency 2 6 2 5 3 2" xfId="12997"/>
    <cellStyle name="Currency 2 6 2 5 4" xfId="12998"/>
    <cellStyle name="Currency 2 6 2 6" xfId="12999"/>
    <cellStyle name="Currency 2 6 2 6 2" xfId="13000"/>
    <cellStyle name="Currency 2 6 2 6 2 2" xfId="13001"/>
    <cellStyle name="Currency 2 6 2 6 3" xfId="13002"/>
    <cellStyle name="Currency 2 6 2 7" xfId="13003"/>
    <cellStyle name="Currency 2 6 2 7 2" xfId="13004"/>
    <cellStyle name="Currency 2 6 2 7 2 2" xfId="13005"/>
    <cellStyle name="Currency 2 6 2 7 3" xfId="13006"/>
    <cellStyle name="Currency 2 6 2 8" xfId="13007"/>
    <cellStyle name="Currency 2 6 2 8 2" xfId="13008"/>
    <cellStyle name="Currency 2 6 2 9" xfId="13009"/>
    <cellStyle name="Currency 2 6 2 9 2" xfId="36440"/>
    <cellStyle name="Currency 2 6 3" xfId="13010"/>
    <cellStyle name="Currency 2 6 3 2" xfId="13011"/>
    <cellStyle name="Currency 2 6 3 2 2" xfId="13012"/>
    <cellStyle name="Currency 2 6 3 2 2 2" xfId="13013"/>
    <cellStyle name="Currency 2 6 3 2 2 2 2" xfId="13014"/>
    <cellStyle name="Currency 2 6 3 2 2 2 2 2" xfId="13015"/>
    <cellStyle name="Currency 2 6 3 2 2 2 2 3" xfId="13016"/>
    <cellStyle name="Currency 2 6 3 2 2 2 3" xfId="13017"/>
    <cellStyle name="Currency 2 6 3 2 2 2 3 2" xfId="13018"/>
    <cellStyle name="Currency 2 6 3 2 2 2 4" xfId="13019"/>
    <cellStyle name="Currency 2 6 3 2 2 3" xfId="13020"/>
    <cellStyle name="Currency 2 6 3 2 2 3 2" xfId="13021"/>
    <cellStyle name="Currency 2 6 3 2 2 3 2 2" xfId="13022"/>
    <cellStyle name="Currency 2 6 3 2 2 3 3" xfId="13023"/>
    <cellStyle name="Currency 2 6 3 2 2 4" xfId="13024"/>
    <cellStyle name="Currency 2 6 3 2 2 4 2" xfId="13025"/>
    <cellStyle name="Currency 2 6 3 2 2 4 3" xfId="13026"/>
    <cellStyle name="Currency 2 6 3 2 2 5" xfId="13027"/>
    <cellStyle name="Currency 2 6 3 2 2 5 2" xfId="13028"/>
    <cellStyle name="Currency 2 6 3 2 2 6" xfId="13029"/>
    <cellStyle name="Currency 2 6 3 2 2 6 2" xfId="36441"/>
    <cellStyle name="Currency 2 6 3 2 2 7" xfId="13030"/>
    <cellStyle name="Currency 2 6 3 2 3" xfId="13031"/>
    <cellStyle name="Currency 2 6 3 2 3 2" xfId="13032"/>
    <cellStyle name="Currency 2 6 3 2 3 2 2" xfId="13033"/>
    <cellStyle name="Currency 2 6 3 2 3 2 2 2" xfId="13034"/>
    <cellStyle name="Currency 2 6 3 2 3 2 3" xfId="13035"/>
    <cellStyle name="Currency 2 6 3 2 3 3" xfId="13036"/>
    <cellStyle name="Currency 2 6 3 2 3 3 2" xfId="13037"/>
    <cellStyle name="Currency 2 6 3 2 3 4" xfId="13038"/>
    <cellStyle name="Currency 2 6 3 2 4" xfId="13039"/>
    <cellStyle name="Currency 2 6 3 2 4 2" xfId="13040"/>
    <cellStyle name="Currency 2 6 3 2 4 2 2" xfId="13041"/>
    <cellStyle name="Currency 2 6 3 2 4 3" xfId="13042"/>
    <cellStyle name="Currency 2 6 3 2 5" xfId="13043"/>
    <cellStyle name="Currency 2 6 3 2 5 2" xfId="13044"/>
    <cellStyle name="Currency 2 6 3 2 5 2 2" xfId="13045"/>
    <cellStyle name="Currency 2 6 3 2 5 3" xfId="13046"/>
    <cellStyle name="Currency 2 6 3 2 6" xfId="13047"/>
    <cellStyle name="Currency 2 6 3 2 6 2" xfId="13048"/>
    <cellStyle name="Currency 2 6 3 2 7" xfId="13049"/>
    <cellStyle name="Currency 2 6 3 2 7 2" xfId="36442"/>
    <cellStyle name="Currency 2 6 3 2 8" xfId="13050"/>
    <cellStyle name="Currency 2 6 3 3" xfId="13051"/>
    <cellStyle name="Currency 2 6 3 3 2" xfId="13052"/>
    <cellStyle name="Currency 2 6 3 3 2 2" xfId="13053"/>
    <cellStyle name="Currency 2 6 3 3 2 2 2" xfId="13054"/>
    <cellStyle name="Currency 2 6 3 3 2 2 3" xfId="13055"/>
    <cellStyle name="Currency 2 6 3 3 2 3" xfId="13056"/>
    <cellStyle name="Currency 2 6 3 3 2 3 2" xfId="13057"/>
    <cellStyle name="Currency 2 6 3 3 2 4" xfId="13058"/>
    <cellStyle name="Currency 2 6 3 3 3" xfId="13059"/>
    <cellStyle name="Currency 2 6 3 3 3 2" xfId="13060"/>
    <cellStyle name="Currency 2 6 3 3 3 2 2" xfId="13061"/>
    <cellStyle name="Currency 2 6 3 3 3 3" xfId="13062"/>
    <cellStyle name="Currency 2 6 3 3 4" xfId="13063"/>
    <cellStyle name="Currency 2 6 3 3 4 2" xfId="13064"/>
    <cellStyle name="Currency 2 6 3 3 4 3" xfId="13065"/>
    <cellStyle name="Currency 2 6 3 3 5" xfId="13066"/>
    <cellStyle name="Currency 2 6 3 3 5 2" xfId="13067"/>
    <cellStyle name="Currency 2 6 3 3 6" xfId="13068"/>
    <cellStyle name="Currency 2 6 3 3 6 2" xfId="36443"/>
    <cellStyle name="Currency 2 6 3 3 7" xfId="13069"/>
    <cellStyle name="Currency 2 6 3 4" xfId="13070"/>
    <cellStyle name="Currency 2 6 3 4 2" xfId="13071"/>
    <cellStyle name="Currency 2 6 3 4 2 2" xfId="13072"/>
    <cellStyle name="Currency 2 6 3 4 2 2 2" xfId="13073"/>
    <cellStyle name="Currency 2 6 3 4 2 3" xfId="13074"/>
    <cellStyle name="Currency 2 6 3 4 3" xfId="13075"/>
    <cellStyle name="Currency 2 6 3 4 3 2" xfId="13076"/>
    <cellStyle name="Currency 2 6 3 4 4" xfId="13077"/>
    <cellStyle name="Currency 2 6 3 5" xfId="13078"/>
    <cellStyle name="Currency 2 6 3 5 2" xfId="13079"/>
    <cellStyle name="Currency 2 6 3 5 2 2" xfId="13080"/>
    <cellStyle name="Currency 2 6 3 5 3" xfId="13081"/>
    <cellStyle name="Currency 2 6 3 6" xfId="13082"/>
    <cellStyle name="Currency 2 6 3 6 2" xfId="13083"/>
    <cellStyle name="Currency 2 6 3 6 2 2" xfId="13084"/>
    <cellStyle name="Currency 2 6 3 6 3" xfId="13085"/>
    <cellStyle name="Currency 2 6 3 7" xfId="13086"/>
    <cellStyle name="Currency 2 6 3 7 2" xfId="13087"/>
    <cellStyle name="Currency 2 6 3 8" xfId="13088"/>
    <cellStyle name="Currency 2 6 3 8 2" xfId="36444"/>
    <cellStyle name="Currency 2 6 3 9" xfId="13089"/>
    <cellStyle name="Currency 2 6 4" xfId="13090"/>
    <cellStyle name="Currency 2 6 4 2" xfId="13091"/>
    <cellStyle name="Currency 2 6 4 2 2" xfId="13092"/>
    <cellStyle name="Currency 2 6 4 2 2 2" xfId="13093"/>
    <cellStyle name="Currency 2 6 4 2 2 2 2" xfId="13094"/>
    <cellStyle name="Currency 2 6 4 2 2 2 3" xfId="13095"/>
    <cellStyle name="Currency 2 6 4 2 2 3" xfId="13096"/>
    <cellStyle name="Currency 2 6 4 2 2 3 2" xfId="13097"/>
    <cellStyle name="Currency 2 6 4 2 2 4" xfId="13098"/>
    <cellStyle name="Currency 2 6 4 2 3" xfId="13099"/>
    <cellStyle name="Currency 2 6 4 2 3 2" xfId="13100"/>
    <cellStyle name="Currency 2 6 4 2 3 2 2" xfId="13101"/>
    <cellStyle name="Currency 2 6 4 2 3 3" xfId="13102"/>
    <cellStyle name="Currency 2 6 4 2 4" xfId="13103"/>
    <cellStyle name="Currency 2 6 4 2 4 2" xfId="13104"/>
    <cellStyle name="Currency 2 6 4 2 4 3" xfId="13105"/>
    <cellStyle name="Currency 2 6 4 2 5" xfId="13106"/>
    <cellStyle name="Currency 2 6 4 2 5 2" xfId="13107"/>
    <cellStyle name="Currency 2 6 4 2 6" xfId="13108"/>
    <cellStyle name="Currency 2 6 4 2 6 2" xfId="36445"/>
    <cellStyle name="Currency 2 6 4 2 7" xfId="13109"/>
    <cellStyle name="Currency 2 6 4 3" xfId="13110"/>
    <cellStyle name="Currency 2 6 4 3 2" xfId="13111"/>
    <cellStyle name="Currency 2 6 4 3 2 2" xfId="13112"/>
    <cellStyle name="Currency 2 6 4 3 2 2 2" xfId="13113"/>
    <cellStyle name="Currency 2 6 4 3 2 3" xfId="13114"/>
    <cellStyle name="Currency 2 6 4 3 3" xfId="13115"/>
    <cellStyle name="Currency 2 6 4 3 3 2" xfId="13116"/>
    <cellStyle name="Currency 2 6 4 3 4" xfId="13117"/>
    <cellStyle name="Currency 2 6 4 4" xfId="13118"/>
    <cellStyle name="Currency 2 6 4 4 2" xfId="13119"/>
    <cellStyle name="Currency 2 6 4 4 2 2" xfId="13120"/>
    <cellStyle name="Currency 2 6 4 4 3" xfId="13121"/>
    <cellStyle name="Currency 2 6 4 5" xfId="13122"/>
    <cellStyle name="Currency 2 6 4 5 2" xfId="13123"/>
    <cellStyle name="Currency 2 6 4 5 2 2" xfId="13124"/>
    <cellStyle name="Currency 2 6 4 5 3" xfId="13125"/>
    <cellStyle name="Currency 2 6 4 6" xfId="13126"/>
    <cellStyle name="Currency 2 6 4 6 2" xfId="13127"/>
    <cellStyle name="Currency 2 6 4 7" xfId="13128"/>
    <cellStyle name="Currency 2 6 4 7 2" xfId="36446"/>
    <cellStyle name="Currency 2 6 4 8" xfId="13129"/>
    <cellStyle name="Currency 2 6 5" xfId="13130"/>
    <cellStyle name="Currency 2 6 5 2" xfId="13131"/>
    <cellStyle name="Currency 2 6 5 2 2" xfId="13132"/>
    <cellStyle name="Currency 2 6 5 2 2 2" xfId="13133"/>
    <cellStyle name="Currency 2 6 5 2 2 2 2" xfId="13134"/>
    <cellStyle name="Currency 2 6 5 2 2 2 3" xfId="13135"/>
    <cellStyle name="Currency 2 6 5 2 2 3" xfId="13136"/>
    <cellStyle name="Currency 2 6 5 2 2 3 2" xfId="13137"/>
    <cellStyle name="Currency 2 6 5 2 2 4" xfId="13138"/>
    <cellStyle name="Currency 2 6 5 2 3" xfId="13139"/>
    <cellStyle name="Currency 2 6 5 2 3 2" xfId="13140"/>
    <cellStyle name="Currency 2 6 5 2 3 2 2" xfId="13141"/>
    <cellStyle name="Currency 2 6 5 2 3 3" xfId="13142"/>
    <cellStyle name="Currency 2 6 5 2 4" xfId="13143"/>
    <cellStyle name="Currency 2 6 5 2 4 2" xfId="13144"/>
    <cellStyle name="Currency 2 6 5 2 4 3" xfId="13145"/>
    <cellStyle name="Currency 2 6 5 2 5" xfId="13146"/>
    <cellStyle name="Currency 2 6 5 2 5 2" xfId="13147"/>
    <cellStyle name="Currency 2 6 5 2 6" xfId="13148"/>
    <cellStyle name="Currency 2 6 5 2 6 2" xfId="36447"/>
    <cellStyle name="Currency 2 6 5 2 7" xfId="13149"/>
    <cellStyle name="Currency 2 6 5 3" xfId="13150"/>
    <cellStyle name="Currency 2 6 5 3 2" xfId="13151"/>
    <cellStyle name="Currency 2 6 5 3 2 2" xfId="13152"/>
    <cellStyle name="Currency 2 6 5 3 2 2 2" xfId="13153"/>
    <cellStyle name="Currency 2 6 5 3 2 3" xfId="13154"/>
    <cellStyle name="Currency 2 6 5 3 3" xfId="13155"/>
    <cellStyle name="Currency 2 6 5 3 3 2" xfId="13156"/>
    <cellStyle name="Currency 2 6 5 3 4" xfId="13157"/>
    <cellStyle name="Currency 2 6 5 4" xfId="13158"/>
    <cellStyle name="Currency 2 6 5 4 2" xfId="13159"/>
    <cellStyle name="Currency 2 6 5 4 2 2" xfId="13160"/>
    <cellStyle name="Currency 2 6 5 4 3" xfId="13161"/>
    <cellStyle name="Currency 2 6 5 5" xfId="13162"/>
    <cellStyle name="Currency 2 6 5 5 2" xfId="13163"/>
    <cellStyle name="Currency 2 6 5 5 2 2" xfId="13164"/>
    <cellStyle name="Currency 2 6 5 5 3" xfId="13165"/>
    <cellStyle name="Currency 2 6 5 6" xfId="13166"/>
    <cellStyle name="Currency 2 6 5 6 2" xfId="13167"/>
    <cellStyle name="Currency 2 6 5 7" xfId="13168"/>
    <cellStyle name="Currency 2 6 5 7 2" xfId="36448"/>
    <cellStyle name="Currency 2 6 5 8" xfId="13169"/>
    <cellStyle name="Currency 2 6 6" xfId="183"/>
    <cellStyle name="Currency 2 6 7" xfId="13170"/>
    <cellStyle name="Currency 2 6 7 2" xfId="13171"/>
    <cellStyle name="Currency 2 6 7 2 2" xfId="13172"/>
    <cellStyle name="Currency 2 6 7 2 2 2" xfId="13173"/>
    <cellStyle name="Currency 2 6 7 2 2 3" xfId="13174"/>
    <cellStyle name="Currency 2 6 7 2 3" xfId="13175"/>
    <cellStyle name="Currency 2 6 7 2 3 2" xfId="13176"/>
    <cellStyle name="Currency 2 6 7 2 4" xfId="13177"/>
    <cellStyle name="Currency 2 6 7 3" xfId="13178"/>
    <cellStyle name="Currency 2 6 7 3 2" xfId="13179"/>
    <cellStyle name="Currency 2 6 7 3 2 2" xfId="13180"/>
    <cellStyle name="Currency 2 6 7 3 3" xfId="13181"/>
    <cellStyle name="Currency 2 6 7 4" xfId="13182"/>
    <cellStyle name="Currency 2 6 7 4 2" xfId="13183"/>
    <cellStyle name="Currency 2 6 7 4 3" xfId="13184"/>
    <cellStyle name="Currency 2 6 7 5" xfId="13185"/>
    <cellStyle name="Currency 2 6 7 5 2" xfId="13186"/>
    <cellStyle name="Currency 2 6 7 6" xfId="13187"/>
    <cellStyle name="Currency 2 6 7 6 2" xfId="36449"/>
    <cellStyle name="Currency 2 6 7 7" xfId="13188"/>
    <cellStyle name="Currency 2 6 8" xfId="13189"/>
    <cellStyle name="Currency 2 6 8 2" xfId="13190"/>
    <cellStyle name="Currency 2 6 8 2 2" xfId="13191"/>
    <cellStyle name="Currency 2 6 8 2 2 2" xfId="13192"/>
    <cellStyle name="Currency 2 6 8 2 3" xfId="13193"/>
    <cellStyle name="Currency 2 6 8 3" xfId="13194"/>
    <cellStyle name="Currency 2 6 8 3 2" xfId="13195"/>
    <cellStyle name="Currency 2 6 8 4" xfId="13196"/>
    <cellStyle name="Currency 2 6 9" xfId="13197"/>
    <cellStyle name="Currency 2 6 9 2" xfId="13198"/>
    <cellStyle name="Currency 2 6 9 2 2" xfId="13199"/>
    <cellStyle name="Currency 2 6 9 3" xfId="13200"/>
    <cellStyle name="Currency 2 7" xfId="13201"/>
    <cellStyle name="Currency 2 7 10" xfId="13202"/>
    <cellStyle name="Currency 2 7 2" xfId="13203"/>
    <cellStyle name="Currency 2 7 2 2" xfId="13204"/>
    <cellStyle name="Currency 2 7 2 2 2" xfId="13205"/>
    <cellStyle name="Currency 2 7 2 2 2 2" xfId="13206"/>
    <cellStyle name="Currency 2 7 2 2 2 2 2" xfId="13207"/>
    <cellStyle name="Currency 2 7 2 2 2 2 2 2" xfId="13208"/>
    <cellStyle name="Currency 2 7 2 2 2 2 2 3" xfId="13209"/>
    <cellStyle name="Currency 2 7 2 2 2 2 3" xfId="13210"/>
    <cellStyle name="Currency 2 7 2 2 2 2 3 2" xfId="13211"/>
    <cellStyle name="Currency 2 7 2 2 2 2 4" xfId="13212"/>
    <cellStyle name="Currency 2 7 2 2 2 3" xfId="13213"/>
    <cellStyle name="Currency 2 7 2 2 2 3 2" xfId="13214"/>
    <cellStyle name="Currency 2 7 2 2 2 3 2 2" xfId="13215"/>
    <cellStyle name="Currency 2 7 2 2 2 3 3" xfId="13216"/>
    <cellStyle name="Currency 2 7 2 2 2 4" xfId="13217"/>
    <cellStyle name="Currency 2 7 2 2 2 4 2" xfId="13218"/>
    <cellStyle name="Currency 2 7 2 2 2 4 3" xfId="13219"/>
    <cellStyle name="Currency 2 7 2 2 2 5" xfId="13220"/>
    <cellStyle name="Currency 2 7 2 2 2 5 2" xfId="13221"/>
    <cellStyle name="Currency 2 7 2 2 2 6" xfId="13222"/>
    <cellStyle name="Currency 2 7 2 2 2 6 2" xfId="36450"/>
    <cellStyle name="Currency 2 7 2 2 2 7" xfId="13223"/>
    <cellStyle name="Currency 2 7 2 2 3" xfId="13224"/>
    <cellStyle name="Currency 2 7 2 2 3 2" xfId="13225"/>
    <cellStyle name="Currency 2 7 2 2 3 2 2" xfId="13226"/>
    <cellStyle name="Currency 2 7 2 2 3 2 2 2" xfId="13227"/>
    <cellStyle name="Currency 2 7 2 2 3 2 3" xfId="13228"/>
    <cellStyle name="Currency 2 7 2 2 3 3" xfId="13229"/>
    <cellStyle name="Currency 2 7 2 2 3 3 2" xfId="13230"/>
    <cellStyle name="Currency 2 7 2 2 3 4" xfId="13231"/>
    <cellStyle name="Currency 2 7 2 2 4" xfId="13232"/>
    <cellStyle name="Currency 2 7 2 2 4 2" xfId="13233"/>
    <cellStyle name="Currency 2 7 2 2 4 2 2" xfId="13234"/>
    <cellStyle name="Currency 2 7 2 2 4 3" xfId="13235"/>
    <cellStyle name="Currency 2 7 2 2 5" xfId="13236"/>
    <cellStyle name="Currency 2 7 2 2 5 2" xfId="13237"/>
    <cellStyle name="Currency 2 7 2 2 5 2 2" xfId="13238"/>
    <cellStyle name="Currency 2 7 2 2 5 3" xfId="13239"/>
    <cellStyle name="Currency 2 7 2 2 6" xfId="13240"/>
    <cellStyle name="Currency 2 7 2 2 6 2" xfId="13241"/>
    <cellStyle name="Currency 2 7 2 2 7" xfId="13242"/>
    <cellStyle name="Currency 2 7 2 2 7 2" xfId="36451"/>
    <cellStyle name="Currency 2 7 2 2 8" xfId="13243"/>
    <cellStyle name="Currency 2 7 2 3" xfId="13244"/>
    <cellStyle name="Currency 2 7 2 3 2" xfId="13245"/>
    <cellStyle name="Currency 2 7 2 3 2 2" xfId="13246"/>
    <cellStyle name="Currency 2 7 2 3 2 2 2" xfId="13247"/>
    <cellStyle name="Currency 2 7 2 3 2 2 3" xfId="13248"/>
    <cellStyle name="Currency 2 7 2 3 2 3" xfId="13249"/>
    <cellStyle name="Currency 2 7 2 3 2 3 2" xfId="13250"/>
    <cellStyle name="Currency 2 7 2 3 2 4" xfId="13251"/>
    <cellStyle name="Currency 2 7 2 3 3" xfId="13252"/>
    <cellStyle name="Currency 2 7 2 3 3 2" xfId="13253"/>
    <cellStyle name="Currency 2 7 2 3 3 2 2" xfId="13254"/>
    <cellStyle name="Currency 2 7 2 3 3 3" xfId="13255"/>
    <cellStyle name="Currency 2 7 2 3 4" xfId="13256"/>
    <cellStyle name="Currency 2 7 2 3 4 2" xfId="13257"/>
    <cellStyle name="Currency 2 7 2 3 4 3" xfId="13258"/>
    <cellStyle name="Currency 2 7 2 3 5" xfId="13259"/>
    <cellStyle name="Currency 2 7 2 3 5 2" xfId="13260"/>
    <cellStyle name="Currency 2 7 2 3 6" xfId="13261"/>
    <cellStyle name="Currency 2 7 2 3 6 2" xfId="36452"/>
    <cellStyle name="Currency 2 7 2 3 7" xfId="13262"/>
    <cellStyle name="Currency 2 7 2 4" xfId="13263"/>
    <cellStyle name="Currency 2 7 2 4 2" xfId="13264"/>
    <cellStyle name="Currency 2 7 2 4 2 2" xfId="13265"/>
    <cellStyle name="Currency 2 7 2 4 2 2 2" xfId="13266"/>
    <cellStyle name="Currency 2 7 2 4 2 3" xfId="13267"/>
    <cellStyle name="Currency 2 7 2 4 3" xfId="13268"/>
    <cellStyle name="Currency 2 7 2 4 3 2" xfId="13269"/>
    <cellStyle name="Currency 2 7 2 4 4" xfId="13270"/>
    <cellStyle name="Currency 2 7 2 5" xfId="13271"/>
    <cellStyle name="Currency 2 7 2 5 2" xfId="13272"/>
    <cellStyle name="Currency 2 7 2 5 2 2" xfId="13273"/>
    <cellStyle name="Currency 2 7 2 5 3" xfId="13274"/>
    <cellStyle name="Currency 2 7 2 6" xfId="13275"/>
    <cellStyle name="Currency 2 7 2 6 2" xfId="13276"/>
    <cellStyle name="Currency 2 7 2 6 2 2" xfId="13277"/>
    <cellStyle name="Currency 2 7 2 6 3" xfId="13278"/>
    <cellStyle name="Currency 2 7 2 7" xfId="13279"/>
    <cellStyle name="Currency 2 7 2 7 2" xfId="13280"/>
    <cellStyle name="Currency 2 7 2 8" xfId="13281"/>
    <cellStyle name="Currency 2 7 2 8 2" xfId="36453"/>
    <cellStyle name="Currency 2 7 2 9" xfId="13282"/>
    <cellStyle name="Currency 2 7 3" xfId="13283"/>
    <cellStyle name="Currency 2 7 3 2" xfId="13284"/>
    <cellStyle name="Currency 2 7 3 2 2" xfId="13285"/>
    <cellStyle name="Currency 2 7 3 2 2 2" xfId="13286"/>
    <cellStyle name="Currency 2 7 3 2 2 2 2" xfId="13287"/>
    <cellStyle name="Currency 2 7 3 2 2 2 3" xfId="13288"/>
    <cellStyle name="Currency 2 7 3 2 2 3" xfId="13289"/>
    <cellStyle name="Currency 2 7 3 2 2 3 2" xfId="13290"/>
    <cellStyle name="Currency 2 7 3 2 2 4" xfId="13291"/>
    <cellStyle name="Currency 2 7 3 2 3" xfId="13292"/>
    <cellStyle name="Currency 2 7 3 2 3 2" xfId="13293"/>
    <cellStyle name="Currency 2 7 3 2 3 2 2" xfId="13294"/>
    <cellStyle name="Currency 2 7 3 2 3 3" xfId="13295"/>
    <cellStyle name="Currency 2 7 3 2 4" xfId="13296"/>
    <cellStyle name="Currency 2 7 3 2 4 2" xfId="13297"/>
    <cellStyle name="Currency 2 7 3 2 4 3" xfId="13298"/>
    <cellStyle name="Currency 2 7 3 2 5" xfId="13299"/>
    <cellStyle name="Currency 2 7 3 2 5 2" xfId="13300"/>
    <cellStyle name="Currency 2 7 3 2 6" xfId="13301"/>
    <cellStyle name="Currency 2 7 3 2 6 2" xfId="36454"/>
    <cellStyle name="Currency 2 7 3 2 7" xfId="13302"/>
    <cellStyle name="Currency 2 7 3 3" xfId="13303"/>
    <cellStyle name="Currency 2 7 3 3 2" xfId="13304"/>
    <cellStyle name="Currency 2 7 3 3 2 2" xfId="13305"/>
    <cellStyle name="Currency 2 7 3 3 2 2 2" xfId="13306"/>
    <cellStyle name="Currency 2 7 3 3 2 3" xfId="13307"/>
    <cellStyle name="Currency 2 7 3 3 3" xfId="13308"/>
    <cellStyle name="Currency 2 7 3 3 3 2" xfId="13309"/>
    <cellStyle name="Currency 2 7 3 3 4" xfId="13310"/>
    <cellStyle name="Currency 2 7 3 4" xfId="13311"/>
    <cellStyle name="Currency 2 7 3 4 2" xfId="13312"/>
    <cellStyle name="Currency 2 7 3 4 2 2" xfId="13313"/>
    <cellStyle name="Currency 2 7 3 4 3" xfId="13314"/>
    <cellStyle name="Currency 2 7 3 5" xfId="13315"/>
    <cellStyle name="Currency 2 7 3 5 2" xfId="13316"/>
    <cellStyle name="Currency 2 7 3 5 2 2" xfId="13317"/>
    <cellStyle name="Currency 2 7 3 5 3" xfId="13318"/>
    <cellStyle name="Currency 2 7 3 6" xfId="13319"/>
    <cellStyle name="Currency 2 7 3 6 2" xfId="13320"/>
    <cellStyle name="Currency 2 7 3 7" xfId="13321"/>
    <cellStyle name="Currency 2 7 3 7 2" xfId="36455"/>
    <cellStyle name="Currency 2 7 3 8" xfId="13322"/>
    <cellStyle name="Currency 2 7 4" xfId="13323"/>
    <cellStyle name="Currency 2 7 4 2" xfId="13324"/>
    <cellStyle name="Currency 2 7 4 2 2" xfId="13325"/>
    <cellStyle name="Currency 2 7 4 2 2 2" xfId="13326"/>
    <cellStyle name="Currency 2 7 4 2 2 3" xfId="13327"/>
    <cellStyle name="Currency 2 7 4 2 3" xfId="13328"/>
    <cellStyle name="Currency 2 7 4 2 3 2" xfId="13329"/>
    <cellStyle name="Currency 2 7 4 2 4" xfId="13330"/>
    <cellStyle name="Currency 2 7 4 3" xfId="13331"/>
    <cellStyle name="Currency 2 7 4 3 2" xfId="13332"/>
    <cellStyle name="Currency 2 7 4 3 2 2" xfId="13333"/>
    <cellStyle name="Currency 2 7 4 3 3" xfId="13334"/>
    <cellStyle name="Currency 2 7 4 4" xfId="13335"/>
    <cellStyle name="Currency 2 7 4 4 2" xfId="13336"/>
    <cellStyle name="Currency 2 7 4 4 3" xfId="13337"/>
    <cellStyle name="Currency 2 7 4 5" xfId="13338"/>
    <cellStyle name="Currency 2 7 4 5 2" xfId="13339"/>
    <cellStyle name="Currency 2 7 4 6" xfId="13340"/>
    <cellStyle name="Currency 2 7 4 6 2" xfId="36456"/>
    <cellStyle name="Currency 2 7 4 7" xfId="13341"/>
    <cellStyle name="Currency 2 7 5" xfId="13342"/>
    <cellStyle name="Currency 2 7 5 2" xfId="13343"/>
    <cellStyle name="Currency 2 7 5 2 2" xfId="13344"/>
    <cellStyle name="Currency 2 7 5 2 2 2" xfId="13345"/>
    <cellStyle name="Currency 2 7 5 2 3" xfId="13346"/>
    <cellStyle name="Currency 2 7 5 3" xfId="13347"/>
    <cellStyle name="Currency 2 7 5 3 2" xfId="13348"/>
    <cellStyle name="Currency 2 7 5 4" xfId="13349"/>
    <cellStyle name="Currency 2 7 6" xfId="13350"/>
    <cellStyle name="Currency 2 7 6 2" xfId="13351"/>
    <cellStyle name="Currency 2 7 6 2 2" xfId="13352"/>
    <cellStyle name="Currency 2 7 6 3" xfId="13353"/>
    <cellStyle name="Currency 2 7 7" xfId="13354"/>
    <cellStyle name="Currency 2 7 7 2" xfId="13355"/>
    <cellStyle name="Currency 2 7 7 2 2" xfId="13356"/>
    <cellStyle name="Currency 2 7 7 3" xfId="13357"/>
    <cellStyle name="Currency 2 7 8" xfId="13358"/>
    <cellStyle name="Currency 2 7 8 2" xfId="13359"/>
    <cellStyle name="Currency 2 7 9" xfId="13360"/>
    <cellStyle name="Currency 2 7 9 2" xfId="36457"/>
    <cellStyle name="Currency 2 8" xfId="13361"/>
    <cellStyle name="Currency 2 8 2" xfId="13362"/>
    <cellStyle name="Currency 2 8 2 2" xfId="13363"/>
    <cellStyle name="Currency 2 8 2 2 2" xfId="13364"/>
    <cellStyle name="Currency 2 8 2 2 2 2" xfId="13365"/>
    <cellStyle name="Currency 2 8 2 2 2 2 2" xfId="13366"/>
    <cellStyle name="Currency 2 8 2 2 2 2 3" xfId="13367"/>
    <cellStyle name="Currency 2 8 2 2 2 3" xfId="13368"/>
    <cellStyle name="Currency 2 8 2 2 2 3 2" xfId="13369"/>
    <cellStyle name="Currency 2 8 2 2 2 4" xfId="13370"/>
    <cellStyle name="Currency 2 8 2 2 3" xfId="13371"/>
    <cellStyle name="Currency 2 8 2 2 3 2" xfId="13372"/>
    <cellStyle name="Currency 2 8 2 2 3 2 2" xfId="13373"/>
    <cellStyle name="Currency 2 8 2 2 3 3" xfId="13374"/>
    <cellStyle name="Currency 2 8 2 2 4" xfId="13375"/>
    <cellStyle name="Currency 2 8 2 2 4 2" xfId="13376"/>
    <cellStyle name="Currency 2 8 2 2 4 3" xfId="13377"/>
    <cellStyle name="Currency 2 8 2 2 5" xfId="13378"/>
    <cellStyle name="Currency 2 8 2 2 5 2" xfId="13379"/>
    <cellStyle name="Currency 2 8 2 2 6" xfId="13380"/>
    <cellStyle name="Currency 2 8 2 2 6 2" xfId="36458"/>
    <cellStyle name="Currency 2 8 2 2 7" xfId="13381"/>
    <cellStyle name="Currency 2 8 2 3" xfId="13382"/>
    <cellStyle name="Currency 2 8 2 3 2" xfId="13383"/>
    <cellStyle name="Currency 2 8 2 3 2 2" xfId="13384"/>
    <cellStyle name="Currency 2 8 2 3 2 2 2" xfId="13385"/>
    <cellStyle name="Currency 2 8 2 3 2 3" xfId="13386"/>
    <cellStyle name="Currency 2 8 2 3 3" xfId="13387"/>
    <cellStyle name="Currency 2 8 2 3 3 2" xfId="13388"/>
    <cellStyle name="Currency 2 8 2 3 4" xfId="13389"/>
    <cellStyle name="Currency 2 8 2 4" xfId="13390"/>
    <cellStyle name="Currency 2 8 2 4 2" xfId="13391"/>
    <cellStyle name="Currency 2 8 2 4 2 2" xfId="13392"/>
    <cellStyle name="Currency 2 8 2 4 3" xfId="13393"/>
    <cellStyle name="Currency 2 8 2 5" xfId="13394"/>
    <cellStyle name="Currency 2 8 2 5 2" xfId="13395"/>
    <cellStyle name="Currency 2 8 2 5 2 2" xfId="13396"/>
    <cellStyle name="Currency 2 8 2 5 3" xfId="13397"/>
    <cellStyle name="Currency 2 8 2 6" xfId="13398"/>
    <cellStyle name="Currency 2 8 2 6 2" xfId="13399"/>
    <cellStyle name="Currency 2 8 2 7" xfId="13400"/>
    <cellStyle name="Currency 2 8 2 7 2" xfId="36459"/>
    <cellStyle name="Currency 2 8 2 8" xfId="13401"/>
    <cellStyle name="Currency 2 8 3" xfId="13402"/>
    <cellStyle name="Currency 2 8 3 2" xfId="13403"/>
    <cellStyle name="Currency 2 8 3 2 2" xfId="13404"/>
    <cellStyle name="Currency 2 8 3 2 2 2" xfId="13405"/>
    <cellStyle name="Currency 2 8 3 2 2 3" xfId="13406"/>
    <cellStyle name="Currency 2 8 3 2 3" xfId="13407"/>
    <cellStyle name="Currency 2 8 3 2 3 2" xfId="13408"/>
    <cellStyle name="Currency 2 8 3 2 4" xfId="13409"/>
    <cellStyle name="Currency 2 8 3 3" xfId="13410"/>
    <cellStyle name="Currency 2 8 3 3 2" xfId="13411"/>
    <cellStyle name="Currency 2 8 3 3 2 2" xfId="13412"/>
    <cellStyle name="Currency 2 8 3 3 3" xfId="13413"/>
    <cellStyle name="Currency 2 8 3 4" xfId="13414"/>
    <cellStyle name="Currency 2 8 3 4 2" xfId="13415"/>
    <cellStyle name="Currency 2 8 3 4 3" xfId="13416"/>
    <cellStyle name="Currency 2 8 3 5" xfId="13417"/>
    <cellStyle name="Currency 2 8 3 5 2" xfId="13418"/>
    <cellStyle name="Currency 2 8 3 6" xfId="13419"/>
    <cellStyle name="Currency 2 8 3 6 2" xfId="36460"/>
    <cellStyle name="Currency 2 8 3 7" xfId="13420"/>
    <cellStyle name="Currency 2 8 4" xfId="13421"/>
    <cellStyle name="Currency 2 8 4 2" xfId="13422"/>
    <cellStyle name="Currency 2 8 4 2 2" xfId="13423"/>
    <cellStyle name="Currency 2 8 4 2 2 2" xfId="13424"/>
    <cellStyle name="Currency 2 8 4 2 3" xfId="13425"/>
    <cellStyle name="Currency 2 8 4 3" xfId="13426"/>
    <cellStyle name="Currency 2 8 4 3 2" xfId="13427"/>
    <cellStyle name="Currency 2 8 4 4" xfId="13428"/>
    <cellStyle name="Currency 2 8 5" xfId="13429"/>
    <cellStyle name="Currency 2 8 5 2" xfId="13430"/>
    <cellStyle name="Currency 2 8 5 2 2" xfId="13431"/>
    <cellStyle name="Currency 2 8 5 3" xfId="13432"/>
    <cellStyle name="Currency 2 8 6" xfId="13433"/>
    <cellStyle name="Currency 2 8 6 2" xfId="13434"/>
    <cellStyle name="Currency 2 8 6 2 2" xfId="13435"/>
    <cellStyle name="Currency 2 8 6 3" xfId="13436"/>
    <cellStyle name="Currency 2 8 7" xfId="13437"/>
    <cellStyle name="Currency 2 8 7 2" xfId="13438"/>
    <cellStyle name="Currency 2 8 8" xfId="13439"/>
    <cellStyle name="Currency 2 8 8 2" xfId="36461"/>
    <cellStyle name="Currency 2 8 9" xfId="13440"/>
    <cellStyle name="Currency 2 9" xfId="13441"/>
    <cellStyle name="Currency 2 9 2" xfId="13442"/>
    <cellStyle name="Currency 2 9 2 2" xfId="13443"/>
    <cellStyle name="Currency 2 9 2 2 2" xfId="13444"/>
    <cellStyle name="Currency 2 9 2 2 2 2" xfId="13445"/>
    <cellStyle name="Currency 2 9 2 2 2 2 2" xfId="13446"/>
    <cellStyle name="Currency 2 9 2 2 2 2 3" xfId="13447"/>
    <cellStyle name="Currency 2 9 2 2 2 3" xfId="13448"/>
    <cellStyle name="Currency 2 9 2 2 2 3 2" xfId="13449"/>
    <cellStyle name="Currency 2 9 2 2 2 4" xfId="13450"/>
    <cellStyle name="Currency 2 9 2 2 3" xfId="13451"/>
    <cellStyle name="Currency 2 9 2 2 3 2" xfId="13452"/>
    <cellStyle name="Currency 2 9 2 2 3 2 2" xfId="13453"/>
    <cellStyle name="Currency 2 9 2 2 3 3" xfId="13454"/>
    <cellStyle name="Currency 2 9 2 2 4" xfId="13455"/>
    <cellStyle name="Currency 2 9 2 2 4 2" xfId="13456"/>
    <cellStyle name="Currency 2 9 2 2 4 3" xfId="13457"/>
    <cellStyle name="Currency 2 9 2 2 5" xfId="13458"/>
    <cellStyle name="Currency 2 9 2 2 5 2" xfId="13459"/>
    <cellStyle name="Currency 2 9 2 2 6" xfId="13460"/>
    <cellStyle name="Currency 2 9 2 2 6 2" xfId="36462"/>
    <cellStyle name="Currency 2 9 2 2 7" xfId="13461"/>
    <cellStyle name="Currency 2 9 2 3" xfId="13462"/>
    <cellStyle name="Currency 2 9 2 3 2" xfId="13463"/>
    <cellStyle name="Currency 2 9 2 3 2 2" xfId="13464"/>
    <cellStyle name="Currency 2 9 2 3 2 2 2" xfId="13465"/>
    <cellStyle name="Currency 2 9 2 3 2 3" xfId="13466"/>
    <cellStyle name="Currency 2 9 2 3 3" xfId="13467"/>
    <cellStyle name="Currency 2 9 2 3 3 2" xfId="13468"/>
    <cellStyle name="Currency 2 9 2 3 4" xfId="13469"/>
    <cellStyle name="Currency 2 9 2 4" xfId="13470"/>
    <cellStyle name="Currency 2 9 2 4 2" xfId="13471"/>
    <cellStyle name="Currency 2 9 2 4 2 2" xfId="13472"/>
    <cellStyle name="Currency 2 9 2 4 3" xfId="13473"/>
    <cellStyle name="Currency 2 9 2 5" xfId="13474"/>
    <cellStyle name="Currency 2 9 2 5 2" xfId="13475"/>
    <cellStyle name="Currency 2 9 2 5 2 2" xfId="13476"/>
    <cellStyle name="Currency 2 9 2 5 3" xfId="13477"/>
    <cellStyle name="Currency 2 9 2 6" xfId="13478"/>
    <cellStyle name="Currency 2 9 2 6 2" xfId="13479"/>
    <cellStyle name="Currency 2 9 2 7" xfId="13480"/>
    <cellStyle name="Currency 2 9 2 7 2" xfId="36463"/>
    <cellStyle name="Currency 2 9 2 8" xfId="13481"/>
    <cellStyle name="Currency 2 9 3" xfId="13482"/>
    <cellStyle name="Currency 2 9 3 2" xfId="13483"/>
    <cellStyle name="Currency 2 9 3 2 2" xfId="13484"/>
    <cellStyle name="Currency 2 9 3 2 2 2" xfId="13485"/>
    <cellStyle name="Currency 2 9 3 2 2 3" xfId="13486"/>
    <cellStyle name="Currency 2 9 3 2 3" xfId="13487"/>
    <cellStyle name="Currency 2 9 3 2 3 2" xfId="13488"/>
    <cellStyle name="Currency 2 9 3 2 4" xfId="13489"/>
    <cellStyle name="Currency 2 9 3 3" xfId="13490"/>
    <cellStyle name="Currency 2 9 3 3 2" xfId="13491"/>
    <cellStyle name="Currency 2 9 3 3 2 2" xfId="13492"/>
    <cellStyle name="Currency 2 9 3 3 3" xfId="13493"/>
    <cellStyle name="Currency 2 9 3 4" xfId="13494"/>
    <cellStyle name="Currency 2 9 3 4 2" xfId="13495"/>
    <cellStyle name="Currency 2 9 3 4 3" xfId="13496"/>
    <cellStyle name="Currency 2 9 3 5" xfId="13497"/>
    <cellStyle name="Currency 2 9 3 5 2" xfId="13498"/>
    <cellStyle name="Currency 2 9 3 6" xfId="13499"/>
    <cellStyle name="Currency 2 9 3 6 2" xfId="36464"/>
    <cellStyle name="Currency 2 9 3 7" xfId="13500"/>
    <cellStyle name="Currency 2 9 4" xfId="13501"/>
    <cellStyle name="Currency 2 9 4 2" xfId="13502"/>
    <cellStyle name="Currency 2 9 4 2 2" xfId="13503"/>
    <cellStyle name="Currency 2 9 4 2 2 2" xfId="13504"/>
    <cellStyle name="Currency 2 9 4 2 3" xfId="13505"/>
    <cellStyle name="Currency 2 9 4 3" xfId="13506"/>
    <cellStyle name="Currency 2 9 4 3 2" xfId="13507"/>
    <cellStyle name="Currency 2 9 4 4" xfId="13508"/>
    <cellStyle name="Currency 2 9 5" xfId="13509"/>
    <cellStyle name="Currency 2 9 5 2" xfId="13510"/>
    <cellStyle name="Currency 2 9 5 2 2" xfId="13511"/>
    <cellStyle name="Currency 2 9 5 3" xfId="13512"/>
    <cellStyle name="Currency 2 9 6" xfId="13513"/>
    <cellStyle name="Currency 2 9 6 2" xfId="13514"/>
    <cellStyle name="Currency 2 9 6 2 2" xfId="13515"/>
    <cellStyle name="Currency 2 9 6 3" xfId="13516"/>
    <cellStyle name="Currency 2 9 7" xfId="13517"/>
    <cellStyle name="Currency 2 9 7 2" xfId="13518"/>
    <cellStyle name="Currency 2 9 8" xfId="13519"/>
    <cellStyle name="Currency 2 9 8 2" xfId="36465"/>
    <cellStyle name="Currency 2 9 9" xfId="13520"/>
    <cellStyle name="Currency 3" xfId="181"/>
    <cellStyle name="Currency 3 10" xfId="13521"/>
    <cellStyle name="Currency 3 10 2" xfId="13522"/>
    <cellStyle name="Currency 3 10 2 2" xfId="13523"/>
    <cellStyle name="Currency 3 10 2 2 2" xfId="13524"/>
    <cellStyle name="Currency 3 10 2 2 2 2" xfId="13525"/>
    <cellStyle name="Currency 3 10 2 2 2 3" xfId="13526"/>
    <cellStyle name="Currency 3 10 2 2 3" xfId="13527"/>
    <cellStyle name="Currency 3 10 2 2 3 2" xfId="13528"/>
    <cellStyle name="Currency 3 10 2 2 4" xfId="13529"/>
    <cellStyle name="Currency 3 10 2 3" xfId="13530"/>
    <cellStyle name="Currency 3 10 2 3 2" xfId="13531"/>
    <cellStyle name="Currency 3 10 2 3 2 2" xfId="13532"/>
    <cellStyle name="Currency 3 10 2 3 3" xfId="13533"/>
    <cellStyle name="Currency 3 10 2 4" xfId="13534"/>
    <cellStyle name="Currency 3 10 2 4 2" xfId="13535"/>
    <cellStyle name="Currency 3 10 2 4 3" xfId="13536"/>
    <cellStyle name="Currency 3 10 2 5" xfId="13537"/>
    <cellStyle name="Currency 3 10 2 5 2" xfId="13538"/>
    <cellStyle name="Currency 3 10 2 6" xfId="13539"/>
    <cellStyle name="Currency 3 10 2 6 2" xfId="36466"/>
    <cellStyle name="Currency 3 10 2 7" xfId="13540"/>
    <cellStyle name="Currency 3 10 3" xfId="13541"/>
    <cellStyle name="Currency 3 10 3 2" xfId="13542"/>
    <cellStyle name="Currency 3 10 3 2 2" xfId="13543"/>
    <cellStyle name="Currency 3 10 3 2 2 2" xfId="13544"/>
    <cellStyle name="Currency 3 10 3 2 3" xfId="13545"/>
    <cellStyle name="Currency 3 10 3 3" xfId="13546"/>
    <cellStyle name="Currency 3 10 3 3 2" xfId="13547"/>
    <cellStyle name="Currency 3 10 3 4" xfId="13548"/>
    <cellStyle name="Currency 3 10 4" xfId="13549"/>
    <cellStyle name="Currency 3 10 4 2" xfId="13550"/>
    <cellStyle name="Currency 3 10 4 2 2" xfId="13551"/>
    <cellStyle name="Currency 3 10 4 3" xfId="13552"/>
    <cellStyle name="Currency 3 10 5" xfId="13553"/>
    <cellStyle name="Currency 3 10 5 2" xfId="13554"/>
    <cellStyle name="Currency 3 10 5 2 2" xfId="13555"/>
    <cellStyle name="Currency 3 10 5 3" xfId="13556"/>
    <cellStyle name="Currency 3 10 6" xfId="13557"/>
    <cellStyle name="Currency 3 10 6 2" xfId="13558"/>
    <cellStyle name="Currency 3 10 7" xfId="13559"/>
    <cellStyle name="Currency 3 10 7 2" xfId="36467"/>
    <cellStyle name="Currency 3 10 8" xfId="13560"/>
    <cellStyle name="Currency 3 11" xfId="13561"/>
    <cellStyle name="Currency 3 11 2" xfId="13562"/>
    <cellStyle name="Currency 3 11 2 2" xfId="13563"/>
    <cellStyle name="Currency 3 11 2 2 2" xfId="13564"/>
    <cellStyle name="Currency 3 11 2 2 2 2" xfId="13565"/>
    <cellStyle name="Currency 3 11 2 2 2 3" xfId="13566"/>
    <cellStyle name="Currency 3 11 2 2 3" xfId="13567"/>
    <cellStyle name="Currency 3 11 2 2 3 2" xfId="13568"/>
    <cellStyle name="Currency 3 11 2 2 4" xfId="13569"/>
    <cellStyle name="Currency 3 11 2 3" xfId="13570"/>
    <cellStyle name="Currency 3 11 2 3 2" xfId="13571"/>
    <cellStyle name="Currency 3 11 2 3 2 2" xfId="13572"/>
    <cellStyle name="Currency 3 11 2 3 3" xfId="13573"/>
    <cellStyle name="Currency 3 11 2 4" xfId="13574"/>
    <cellStyle name="Currency 3 11 2 4 2" xfId="13575"/>
    <cellStyle name="Currency 3 11 2 4 3" xfId="13576"/>
    <cellStyle name="Currency 3 11 2 5" xfId="13577"/>
    <cellStyle name="Currency 3 11 2 5 2" xfId="13578"/>
    <cellStyle name="Currency 3 11 2 6" xfId="13579"/>
    <cellStyle name="Currency 3 11 2 6 2" xfId="36468"/>
    <cellStyle name="Currency 3 11 2 7" xfId="13580"/>
    <cellStyle name="Currency 3 11 3" xfId="13581"/>
    <cellStyle name="Currency 3 11 3 2" xfId="13582"/>
    <cellStyle name="Currency 3 11 3 2 2" xfId="13583"/>
    <cellStyle name="Currency 3 11 3 2 2 2" xfId="13584"/>
    <cellStyle name="Currency 3 11 3 2 3" xfId="13585"/>
    <cellStyle name="Currency 3 11 3 3" xfId="13586"/>
    <cellStyle name="Currency 3 11 3 3 2" xfId="13587"/>
    <cellStyle name="Currency 3 11 3 4" xfId="13588"/>
    <cellStyle name="Currency 3 11 4" xfId="13589"/>
    <cellStyle name="Currency 3 11 4 2" xfId="13590"/>
    <cellStyle name="Currency 3 11 4 2 2" xfId="13591"/>
    <cellStyle name="Currency 3 11 4 3" xfId="13592"/>
    <cellStyle name="Currency 3 11 5" xfId="13593"/>
    <cellStyle name="Currency 3 11 5 2" xfId="13594"/>
    <cellStyle name="Currency 3 11 5 2 2" xfId="13595"/>
    <cellStyle name="Currency 3 11 5 3" xfId="13596"/>
    <cellStyle name="Currency 3 11 6" xfId="13597"/>
    <cellStyle name="Currency 3 11 6 2" xfId="13598"/>
    <cellStyle name="Currency 3 11 7" xfId="13599"/>
    <cellStyle name="Currency 3 11 7 2" xfId="36469"/>
    <cellStyle name="Currency 3 11 8" xfId="13600"/>
    <cellStyle name="Currency 3 12" xfId="13601"/>
    <cellStyle name="Currency 3 12 2" xfId="13602"/>
    <cellStyle name="Currency 3 12 2 2" xfId="13603"/>
    <cellStyle name="Currency 3 12 2 2 2" xfId="13604"/>
    <cellStyle name="Currency 3 12 2 2 2 2" xfId="13605"/>
    <cellStyle name="Currency 3 12 2 2 2 3" xfId="13606"/>
    <cellStyle name="Currency 3 12 2 2 3" xfId="13607"/>
    <cellStyle name="Currency 3 12 2 2 3 2" xfId="13608"/>
    <cellStyle name="Currency 3 12 2 2 4" xfId="13609"/>
    <cellStyle name="Currency 3 12 2 3" xfId="13610"/>
    <cellStyle name="Currency 3 12 2 3 2" xfId="13611"/>
    <cellStyle name="Currency 3 12 2 3 2 2" xfId="13612"/>
    <cellStyle name="Currency 3 12 2 3 3" xfId="13613"/>
    <cellStyle name="Currency 3 12 2 4" xfId="13614"/>
    <cellStyle name="Currency 3 12 2 4 2" xfId="13615"/>
    <cellStyle name="Currency 3 12 2 4 3" xfId="13616"/>
    <cellStyle name="Currency 3 12 2 5" xfId="13617"/>
    <cellStyle name="Currency 3 12 2 5 2" xfId="13618"/>
    <cellStyle name="Currency 3 12 2 6" xfId="13619"/>
    <cellStyle name="Currency 3 12 2 6 2" xfId="36470"/>
    <cellStyle name="Currency 3 12 2 7" xfId="13620"/>
    <cellStyle name="Currency 3 12 3" xfId="13621"/>
    <cellStyle name="Currency 3 12 3 2" xfId="13622"/>
    <cellStyle name="Currency 3 12 3 2 2" xfId="13623"/>
    <cellStyle name="Currency 3 12 3 2 2 2" xfId="13624"/>
    <cellStyle name="Currency 3 12 3 2 3" xfId="13625"/>
    <cellStyle name="Currency 3 12 3 3" xfId="13626"/>
    <cellStyle name="Currency 3 12 3 3 2" xfId="13627"/>
    <cellStyle name="Currency 3 12 3 4" xfId="13628"/>
    <cellStyle name="Currency 3 12 4" xfId="13629"/>
    <cellStyle name="Currency 3 12 4 2" xfId="13630"/>
    <cellStyle name="Currency 3 12 4 2 2" xfId="13631"/>
    <cellStyle name="Currency 3 12 4 3" xfId="13632"/>
    <cellStyle name="Currency 3 12 5" xfId="13633"/>
    <cellStyle name="Currency 3 12 5 2" xfId="13634"/>
    <cellStyle name="Currency 3 12 5 2 2" xfId="13635"/>
    <cellStyle name="Currency 3 12 5 3" xfId="13636"/>
    <cellStyle name="Currency 3 12 6" xfId="13637"/>
    <cellStyle name="Currency 3 12 6 2" xfId="13638"/>
    <cellStyle name="Currency 3 12 7" xfId="13639"/>
    <cellStyle name="Currency 3 12 7 2" xfId="36471"/>
    <cellStyle name="Currency 3 12 8" xfId="13640"/>
    <cellStyle name="Currency 3 13" xfId="13641"/>
    <cellStyle name="Currency 3 13 2" xfId="13642"/>
    <cellStyle name="Currency 3 13 2 2" xfId="13643"/>
    <cellStyle name="Currency 3 13 2 2 2" xfId="13644"/>
    <cellStyle name="Currency 3 13 2 2 3" xfId="13645"/>
    <cellStyle name="Currency 3 13 2 3" xfId="13646"/>
    <cellStyle name="Currency 3 13 2 3 2" xfId="13647"/>
    <cellStyle name="Currency 3 13 2 4" xfId="13648"/>
    <cellStyle name="Currency 3 13 3" xfId="13649"/>
    <cellStyle name="Currency 3 13 3 2" xfId="13650"/>
    <cellStyle name="Currency 3 13 3 2 2" xfId="13651"/>
    <cellStyle name="Currency 3 13 3 3" xfId="13652"/>
    <cellStyle name="Currency 3 13 4" xfId="13653"/>
    <cellStyle name="Currency 3 13 4 2" xfId="13654"/>
    <cellStyle name="Currency 3 13 4 3" xfId="13655"/>
    <cellStyle name="Currency 3 13 5" xfId="13656"/>
    <cellStyle name="Currency 3 13 5 2" xfId="13657"/>
    <cellStyle name="Currency 3 13 6" xfId="13658"/>
    <cellStyle name="Currency 3 13 6 2" xfId="36472"/>
    <cellStyle name="Currency 3 13 7" xfId="13659"/>
    <cellStyle name="Currency 3 14" xfId="13660"/>
    <cellStyle name="Currency 3 14 2" xfId="13661"/>
    <cellStyle name="Currency 3 14 2 2" xfId="13662"/>
    <cellStyle name="Currency 3 14 2 2 2" xfId="13663"/>
    <cellStyle name="Currency 3 14 2 3" xfId="13664"/>
    <cellStyle name="Currency 3 14 3" xfId="13665"/>
    <cellStyle name="Currency 3 14 3 2" xfId="13666"/>
    <cellStyle name="Currency 3 14 4" xfId="13667"/>
    <cellStyle name="Currency 3 15" xfId="13668"/>
    <cellStyle name="Currency 3 15 2" xfId="13669"/>
    <cellStyle name="Currency 3 15 2 2" xfId="13670"/>
    <cellStyle name="Currency 3 15 3" xfId="13671"/>
    <cellStyle name="Currency 3 16" xfId="13672"/>
    <cellStyle name="Currency 3 16 2" xfId="13673"/>
    <cellStyle name="Currency 3 16 2 2" xfId="13674"/>
    <cellStyle name="Currency 3 16 3" xfId="13675"/>
    <cellStyle name="Currency 3 17" xfId="13676"/>
    <cellStyle name="Currency 3 17 2" xfId="13677"/>
    <cellStyle name="Currency 3 18" xfId="13678"/>
    <cellStyle name="Currency 3 18 2" xfId="36473"/>
    <cellStyle name="Currency 3 19" xfId="13679"/>
    <cellStyle name="Currency 3 2" xfId="13680"/>
    <cellStyle name="Currency 3 2 10" xfId="13681"/>
    <cellStyle name="Currency 3 2 10 2" xfId="13682"/>
    <cellStyle name="Currency 3 2 10 2 2" xfId="13683"/>
    <cellStyle name="Currency 3 2 10 2 2 2" xfId="13684"/>
    <cellStyle name="Currency 3 2 10 2 2 2 2" xfId="13685"/>
    <cellStyle name="Currency 3 2 10 2 2 2 3" xfId="13686"/>
    <cellStyle name="Currency 3 2 10 2 2 3" xfId="13687"/>
    <cellStyle name="Currency 3 2 10 2 2 3 2" xfId="13688"/>
    <cellStyle name="Currency 3 2 10 2 2 4" xfId="13689"/>
    <cellStyle name="Currency 3 2 10 2 3" xfId="13690"/>
    <cellStyle name="Currency 3 2 10 2 3 2" xfId="13691"/>
    <cellStyle name="Currency 3 2 10 2 3 2 2" xfId="13692"/>
    <cellStyle name="Currency 3 2 10 2 3 3" xfId="13693"/>
    <cellStyle name="Currency 3 2 10 2 4" xfId="13694"/>
    <cellStyle name="Currency 3 2 10 2 4 2" xfId="13695"/>
    <cellStyle name="Currency 3 2 10 2 4 3" xfId="13696"/>
    <cellStyle name="Currency 3 2 10 2 5" xfId="13697"/>
    <cellStyle name="Currency 3 2 10 2 5 2" xfId="13698"/>
    <cellStyle name="Currency 3 2 10 2 6" xfId="13699"/>
    <cellStyle name="Currency 3 2 10 2 6 2" xfId="36474"/>
    <cellStyle name="Currency 3 2 10 2 7" xfId="13700"/>
    <cellStyle name="Currency 3 2 10 3" xfId="13701"/>
    <cellStyle name="Currency 3 2 10 3 2" xfId="13702"/>
    <cellStyle name="Currency 3 2 10 3 2 2" xfId="13703"/>
    <cellStyle name="Currency 3 2 10 3 2 2 2" xfId="13704"/>
    <cellStyle name="Currency 3 2 10 3 2 3" xfId="13705"/>
    <cellStyle name="Currency 3 2 10 3 3" xfId="13706"/>
    <cellStyle name="Currency 3 2 10 3 3 2" xfId="13707"/>
    <cellStyle name="Currency 3 2 10 3 4" xfId="13708"/>
    <cellStyle name="Currency 3 2 10 4" xfId="13709"/>
    <cellStyle name="Currency 3 2 10 4 2" xfId="13710"/>
    <cellStyle name="Currency 3 2 10 4 2 2" xfId="13711"/>
    <cellStyle name="Currency 3 2 10 4 3" xfId="13712"/>
    <cellStyle name="Currency 3 2 10 5" xfId="13713"/>
    <cellStyle name="Currency 3 2 10 5 2" xfId="13714"/>
    <cellStyle name="Currency 3 2 10 5 2 2" xfId="13715"/>
    <cellStyle name="Currency 3 2 10 5 3" xfId="13716"/>
    <cellStyle name="Currency 3 2 10 6" xfId="13717"/>
    <cellStyle name="Currency 3 2 10 6 2" xfId="13718"/>
    <cellStyle name="Currency 3 2 10 7" xfId="13719"/>
    <cellStyle name="Currency 3 2 10 7 2" xfId="36475"/>
    <cellStyle name="Currency 3 2 10 8" xfId="13720"/>
    <cellStyle name="Currency 3 2 11" xfId="13721"/>
    <cellStyle name="Currency 3 2 11 2" xfId="13722"/>
    <cellStyle name="Currency 3 2 11 2 2" xfId="13723"/>
    <cellStyle name="Currency 3 2 11 2 2 2" xfId="13724"/>
    <cellStyle name="Currency 3 2 11 2 2 2 2" xfId="13725"/>
    <cellStyle name="Currency 3 2 11 2 2 2 3" xfId="13726"/>
    <cellStyle name="Currency 3 2 11 2 2 3" xfId="13727"/>
    <cellStyle name="Currency 3 2 11 2 2 3 2" xfId="13728"/>
    <cellStyle name="Currency 3 2 11 2 2 4" xfId="13729"/>
    <cellStyle name="Currency 3 2 11 2 3" xfId="13730"/>
    <cellStyle name="Currency 3 2 11 2 3 2" xfId="13731"/>
    <cellStyle name="Currency 3 2 11 2 3 2 2" xfId="13732"/>
    <cellStyle name="Currency 3 2 11 2 3 3" xfId="13733"/>
    <cellStyle name="Currency 3 2 11 2 4" xfId="13734"/>
    <cellStyle name="Currency 3 2 11 2 4 2" xfId="13735"/>
    <cellStyle name="Currency 3 2 11 2 4 3" xfId="13736"/>
    <cellStyle name="Currency 3 2 11 2 5" xfId="13737"/>
    <cellStyle name="Currency 3 2 11 2 5 2" xfId="13738"/>
    <cellStyle name="Currency 3 2 11 2 6" xfId="13739"/>
    <cellStyle name="Currency 3 2 11 2 6 2" xfId="36476"/>
    <cellStyle name="Currency 3 2 11 2 7" xfId="13740"/>
    <cellStyle name="Currency 3 2 11 3" xfId="13741"/>
    <cellStyle name="Currency 3 2 11 3 2" xfId="13742"/>
    <cellStyle name="Currency 3 2 11 3 2 2" xfId="13743"/>
    <cellStyle name="Currency 3 2 11 3 2 2 2" xfId="13744"/>
    <cellStyle name="Currency 3 2 11 3 2 3" xfId="13745"/>
    <cellStyle name="Currency 3 2 11 3 3" xfId="13746"/>
    <cellStyle name="Currency 3 2 11 3 3 2" xfId="13747"/>
    <cellStyle name="Currency 3 2 11 3 4" xfId="13748"/>
    <cellStyle name="Currency 3 2 11 4" xfId="13749"/>
    <cellStyle name="Currency 3 2 11 4 2" xfId="13750"/>
    <cellStyle name="Currency 3 2 11 4 2 2" xfId="13751"/>
    <cellStyle name="Currency 3 2 11 4 3" xfId="13752"/>
    <cellStyle name="Currency 3 2 11 5" xfId="13753"/>
    <cellStyle name="Currency 3 2 11 5 2" xfId="13754"/>
    <cellStyle name="Currency 3 2 11 5 2 2" xfId="13755"/>
    <cellStyle name="Currency 3 2 11 5 3" xfId="13756"/>
    <cellStyle name="Currency 3 2 11 6" xfId="13757"/>
    <cellStyle name="Currency 3 2 11 6 2" xfId="13758"/>
    <cellStyle name="Currency 3 2 11 7" xfId="13759"/>
    <cellStyle name="Currency 3 2 11 7 2" xfId="36477"/>
    <cellStyle name="Currency 3 2 11 8" xfId="13760"/>
    <cellStyle name="Currency 3 2 12" xfId="13761"/>
    <cellStyle name="Currency 3 2 12 2" xfId="13762"/>
    <cellStyle name="Currency 3 2 12 2 2" xfId="13763"/>
    <cellStyle name="Currency 3 2 12 2 2 2" xfId="13764"/>
    <cellStyle name="Currency 3 2 12 2 2 3" xfId="13765"/>
    <cellStyle name="Currency 3 2 12 2 3" xfId="13766"/>
    <cellStyle name="Currency 3 2 12 2 3 2" xfId="13767"/>
    <cellStyle name="Currency 3 2 12 2 4" xfId="13768"/>
    <cellStyle name="Currency 3 2 12 3" xfId="13769"/>
    <cellStyle name="Currency 3 2 12 3 2" xfId="13770"/>
    <cellStyle name="Currency 3 2 12 3 2 2" xfId="13771"/>
    <cellStyle name="Currency 3 2 12 3 3" xfId="13772"/>
    <cellStyle name="Currency 3 2 12 4" xfId="13773"/>
    <cellStyle name="Currency 3 2 12 4 2" xfId="13774"/>
    <cellStyle name="Currency 3 2 12 4 3" xfId="13775"/>
    <cellStyle name="Currency 3 2 12 5" xfId="13776"/>
    <cellStyle name="Currency 3 2 12 5 2" xfId="13777"/>
    <cellStyle name="Currency 3 2 12 6" xfId="13778"/>
    <cellStyle name="Currency 3 2 12 6 2" xfId="36478"/>
    <cellStyle name="Currency 3 2 12 7" xfId="13779"/>
    <cellStyle name="Currency 3 2 13" xfId="13780"/>
    <cellStyle name="Currency 3 2 13 2" xfId="13781"/>
    <cellStyle name="Currency 3 2 13 2 2" xfId="13782"/>
    <cellStyle name="Currency 3 2 13 2 2 2" xfId="13783"/>
    <cellStyle name="Currency 3 2 13 2 3" xfId="13784"/>
    <cellStyle name="Currency 3 2 13 3" xfId="13785"/>
    <cellStyle name="Currency 3 2 13 3 2" xfId="13786"/>
    <cellStyle name="Currency 3 2 13 4" xfId="13787"/>
    <cellStyle name="Currency 3 2 14" xfId="13788"/>
    <cellStyle name="Currency 3 2 14 2" xfId="13789"/>
    <cellStyle name="Currency 3 2 14 2 2" xfId="13790"/>
    <cellStyle name="Currency 3 2 14 3" xfId="13791"/>
    <cellStyle name="Currency 3 2 15" xfId="13792"/>
    <cellStyle name="Currency 3 2 15 2" xfId="13793"/>
    <cellStyle name="Currency 3 2 15 2 2" xfId="13794"/>
    <cellStyle name="Currency 3 2 15 3" xfId="13795"/>
    <cellStyle name="Currency 3 2 16" xfId="13796"/>
    <cellStyle name="Currency 3 2 16 2" xfId="13797"/>
    <cellStyle name="Currency 3 2 17" xfId="13798"/>
    <cellStyle name="Currency 3 2 17 2" xfId="36479"/>
    <cellStyle name="Currency 3 2 18" xfId="13799"/>
    <cellStyle name="Currency 3 2 2" xfId="13800"/>
    <cellStyle name="Currency 3 2 2 10" xfId="13801"/>
    <cellStyle name="Currency 3 2 2 10 2" xfId="13802"/>
    <cellStyle name="Currency 3 2 2 10 2 2" xfId="13803"/>
    <cellStyle name="Currency 3 2 2 10 3" xfId="13804"/>
    <cellStyle name="Currency 3 2 2 11" xfId="13805"/>
    <cellStyle name="Currency 3 2 2 11 2" xfId="13806"/>
    <cellStyle name="Currency 3 2 2 11 2 2" xfId="13807"/>
    <cellStyle name="Currency 3 2 2 11 3" xfId="13808"/>
    <cellStyle name="Currency 3 2 2 12" xfId="13809"/>
    <cellStyle name="Currency 3 2 2 12 2" xfId="13810"/>
    <cellStyle name="Currency 3 2 2 13" xfId="13811"/>
    <cellStyle name="Currency 3 2 2 13 2" xfId="36480"/>
    <cellStyle name="Currency 3 2 2 14" xfId="13812"/>
    <cellStyle name="Currency 3 2 2 2" xfId="13813"/>
    <cellStyle name="Currency 3 2 2 2 10" xfId="13814"/>
    <cellStyle name="Currency 3 2 2 2 2" xfId="13815"/>
    <cellStyle name="Currency 3 2 2 2 2 2" xfId="13816"/>
    <cellStyle name="Currency 3 2 2 2 2 2 2" xfId="13817"/>
    <cellStyle name="Currency 3 2 2 2 2 2 2 2" xfId="13818"/>
    <cellStyle name="Currency 3 2 2 2 2 2 2 2 2" xfId="13819"/>
    <cellStyle name="Currency 3 2 2 2 2 2 2 2 2 2" xfId="13820"/>
    <cellStyle name="Currency 3 2 2 2 2 2 2 2 2 3" xfId="13821"/>
    <cellStyle name="Currency 3 2 2 2 2 2 2 2 3" xfId="13822"/>
    <cellStyle name="Currency 3 2 2 2 2 2 2 2 3 2" xfId="13823"/>
    <cellStyle name="Currency 3 2 2 2 2 2 2 2 4" xfId="13824"/>
    <cellStyle name="Currency 3 2 2 2 2 2 2 3" xfId="13825"/>
    <cellStyle name="Currency 3 2 2 2 2 2 2 3 2" xfId="13826"/>
    <cellStyle name="Currency 3 2 2 2 2 2 2 3 2 2" xfId="13827"/>
    <cellStyle name="Currency 3 2 2 2 2 2 2 3 3" xfId="13828"/>
    <cellStyle name="Currency 3 2 2 2 2 2 2 4" xfId="13829"/>
    <cellStyle name="Currency 3 2 2 2 2 2 2 4 2" xfId="13830"/>
    <cellStyle name="Currency 3 2 2 2 2 2 2 4 3" xfId="13831"/>
    <cellStyle name="Currency 3 2 2 2 2 2 2 5" xfId="13832"/>
    <cellStyle name="Currency 3 2 2 2 2 2 2 5 2" xfId="13833"/>
    <cellStyle name="Currency 3 2 2 2 2 2 2 6" xfId="13834"/>
    <cellStyle name="Currency 3 2 2 2 2 2 2 6 2" xfId="36481"/>
    <cellStyle name="Currency 3 2 2 2 2 2 2 7" xfId="13835"/>
    <cellStyle name="Currency 3 2 2 2 2 2 3" xfId="13836"/>
    <cellStyle name="Currency 3 2 2 2 2 2 3 2" xfId="13837"/>
    <cellStyle name="Currency 3 2 2 2 2 2 3 2 2" xfId="13838"/>
    <cellStyle name="Currency 3 2 2 2 2 2 3 2 2 2" xfId="13839"/>
    <cellStyle name="Currency 3 2 2 2 2 2 3 2 3" xfId="13840"/>
    <cellStyle name="Currency 3 2 2 2 2 2 3 3" xfId="13841"/>
    <cellStyle name="Currency 3 2 2 2 2 2 3 3 2" xfId="13842"/>
    <cellStyle name="Currency 3 2 2 2 2 2 3 4" xfId="13843"/>
    <cellStyle name="Currency 3 2 2 2 2 2 4" xfId="13844"/>
    <cellStyle name="Currency 3 2 2 2 2 2 4 2" xfId="13845"/>
    <cellStyle name="Currency 3 2 2 2 2 2 4 2 2" xfId="13846"/>
    <cellStyle name="Currency 3 2 2 2 2 2 4 3" xfId="13847"/>
    <cellStyle name="Currency 3 2 2 2 2 2 5" xfId="13848"/>
    <cellStyle name="Currency 3 2 2 2 2 2 5 2" xfId="13849"/>
    <cellStyle name="Currency 3 2 2 2 2 2 5 2 2" xfId="13850"/>
    <cellStyle name="Currency 3 2 2 2 2 2 5 3" xfId="13851"/>
    <cellStyle name="Currency 3 2 2 2 2 2 6" xfId="13852"/>
    <cellStyle name="Currency 3 2 2 2 2 2 6 2" xfId="13853"/>
    <cellStyle name="Currency 3 2 2 2 2 2 7" xfId="13854"/>
    <cellStyle name="Currency 3 2 2 2 2 2 7 2" xfId="36482"/>
    <cellStyle name="Currency 3 2 2 2 2 2 8" xfId="13855"/>
    <cellStyle name="Currency 3 2 2 2 2 3" xfId="13856"/>
    <cellStyle name="Currency 3 2 2 2 2 3 2" xfId="13857"/>
    <cellStyle name="Currency 3 2 2 2 2 3 2 2" xfId="13858"/>
    <cellStyle name="Currency 3 2 2 2 2 3 2 2 2" xfId="13859"/>
    <cellStyle name="Currency 3 2 2 2 2 3 2 2 3" xfId="13860"/>
    <cellStyle name="Currency 3 2 2 2 2 3 2 3" xfId="13861"/>
    <cellStyle name="Currency 3 2 2 2 2 3 2 3 2" xfId="13862"/>
    <cellStyle name="Currency 3 2 2 2 2 3 2 4" xfId="13863"/>
    <cellStyle name="Currency 3 2 2 2 2 3 3" xfId="13864"/>
    <cellStyle name="Currency 3 2 2 2 2 3 3 2" xfId="13865"/>
    <cellStyle name="Currency 3 2 2 2 2 3 3 2 2" xfId="13866"/>
    <cellStyle name="Currency 3 2 2 2 2 3 3 3" xfId="13867"/>
    <cellStyle name="Currency 3 2 2 2 2 3 4" xfId="13868"/>
    <cellStyle name="Currency 3 2 2 2 2 3 4 2" xfId="13869"/>
    <cellStyle name="Currency 3 2 2 2 2 3 4 3" xfId="13870"/>
    <cellStyle name="Currency 3 2 2 2 2 3 5" xfId="13871"/>
    <cellStyle name="Currency 3 2 2 2 2 3 5 2" xfId="13872"/>
    <cellStyle name="Currency 3 2 2 2 2 3 6" xfId="13873"/>
    <cellStyle name="Currency 3 2 2 2 2 3 6 2" xfId="36483"/>
    <cellStyle name="Currency 3 2 2 2 2 3 7" xfId="13874"/>
    <cellStyle name="Currency 3 2 2 2 2 4" xfId="13875"/>
    <cellStyle name="Currency 3 2 2 2 2 4 2" xfId="13876"/>
    <cellStyle name="Currency 3 2 2 2 2 4 2 2" xfId="13877"/>
    <cellStyle name="Currency 3 2 2 2 2 4 2 2 2" xfId="13878"/>
    <cellStyle name="Currency 3 2 2 2 2 4 2 3" xfId="13879"/>
    <cellStyle name="Currency 3 2 2 2 2 4 3" xfId="13880"/>
    <cellStyle name="Currency 3 2 2 2 2 4 3 2" xfId="13881"/>
    <cellStyle name="Currency 3 2 2 2 2 4 4" xfId="13882"/>
    <cellStyle name="Currency 3 2 2 2 2 5" xfId="13883"/>
    <cellStyle name="Currency 3 2 2 2 2 5 2" xfId="13884"/>
    <cellStyle name="Currency 3 2 2 2 2 5 2 2" xfId="13885"/>
    <cellStyle name="Currency 3 2 2 2 2 5 3" xfId="13886"/>
    <cellStyle name="Currency 3 2 2 2 2 6" xfId="13887"/>
    <cellStyle name="Currency 3 2 2 2 2 6 2" xfId="13888"/>
    <cellStyle name="Currency 3 2 2 2 2 6 2 2" xfId="13889"/>
    <cellStyle name="Currency 3 2 2 2 2 6 3" xfId="13890"/>
    <cellStyle name="Currency 3 2 2 2 2 7" xfId="13891"/>
    <cellStyle name="Currency 3 2 2 2 2 7 2" xfId="13892"/>
    <cellStyle name="Currency 3 2 2 2 2 8" xfId="13893"/>
    <cellStyle name="Currency 3 2 2 2 2 8 2" xfId="36484"/>
    <cellStyle name="Currency 3 2 2 2 2 9" xfId="13894"/>
    <cellStyle name="Currency 3 2 2 2 3" xfId="13895"/>
    <cellStyle name="Currency 3 2 2 2 3 2" xfId="13896"/>
    <cellStyle name="Currency 3 2 2 2 3 2 2" xfId="13897"/>
    <cellStyle name="Currency 3 2 2 2 3 2 2 2" xfId="13898"/>
    <cellStyle name="Currency 3 2 2 2 3 2 2 2 2" xfId="13899"/>
    <cellStyle name="Currency 3 2 2 2 3 2 2 2 3" xfId="13900"/>
    <cellStyle name="Currency 3 2 2 2 3 2 2 3" xfId="13901"/>
    <cellStyle name="Currency 3 2 2 2 3 2 2 3 2" xfId="13902"/>
    <cellStyle name="Currency 3 2 2 2 3 2 2 4" xfId="13903"/>
    <cellStyle name="Currency 3 2 2 2 3 2 3" xfId="13904"/>
    <cellStyle name="Currency 3 2 2 2 3 2 3 2" xfId="13905"/>
    <cellStyle name="Currency 3 2 2 2 3 2 3 2 2" xfId="13906"/>
    <cellStyle name="Currency 3 2 2 2 3 2 3 3" xfId="13907"/>
    <cellStyle name="Currency 3 2 2 2 3 2 4" xfId="13908"/>
    <cellStyle name="Currency 3 2 2 2 3 2 4 2" xfId="13909"/>
    <cellStyle name="Currency 3 2 2 2 3 2 4 3" xfId="13910"/>
    <cellStyle name="Currency 3 2 2 2 3 2 5" xfId="13911"/>
    <cellStyle name="Currency 3 2 2 2 3 2 5 2" xfId="13912"/>
    <cellStyle name="Currency 3 2 2 2 3 2 6" xfId="13913"/>
    <cellStyle name="Currency 3 2 2 2 3 2 6 2" xfId="36485"/>
    <cellStyle name="Currency 3 2 2 2 3 2 7" xfId="13914"/>
    <cellStyle name="Currency 3 2 2 2 3 3" xfId="13915"/>
    <cellStyle name="Currency 3 2 2 2 3 3 2" xfId="13916"/>
    <cellStyle name="Currency 3 2 2 2 3 3 2 2" xfId="13917"/>
    <cellStyle name="Currency 3 2 2 2 3 3 2 2 2" xfId="13918"/>
    <cellStyle name="Currency 3 2 2 2 3 3 2 3" xfId="13919"/>
    <cellStyle name="Currency 3 2 2 2 3 3 3" xfId="13920"/>
    <cellStyle name="Currency 3 2 2 2 3 3 3 2" xfId="13921"/>
    <cellStyle name="Currency 3 2 2 2 3 3 4" xfId="13922"/>
    <cellStyle name="Currency 3 2 2 2 3 4" xfId="13923"/>
    <cellStyle name="Currency 3 2 2 2 3 4 2" xfId="13924"/>
    <cellStyle name="Currency 3 2 2 2 3 4 2 2" xfId="13925"/>
    <cellStyle name="Currency 3 2 2 2 3 4 3" xfId="13926"/>
    <cellStyle name="Currency 3 2 2 2 3 5" xfId="13927"/>
    <cellStyle name="Currency 3 2 2 2 3 5 2" xfId="13928"/>
    <cellStyle name="Currency 3 2 2 2 3 5 2 2" xfId="13929"/>
    <cellStyle name="Currency 3 2 2 2 3 5 3" xfId="13930"/>
    <cellStyle name="Currency 3 2 2 2 3 6" xfId="13931"/>
    <cellStyle name="Currency 3 2 2 2 3 6 2" xfId="13932"/>
    <cellStyle name="Currency 3 2 2 2 3 7" xfId="13933"/>
    <cellStyle name="Currency 3 2 2 2 3 7 2" xfId="36486"/>
    <cellStyle name="Currency 3 2 2 2 3 8" xfId="13934"/>
    <cellStyle name="Currency 3 2 2 2 4" xfId="13935"/>
    <cellStyle name="Currency 3 2 2 2 4 2" xfId="13936"/>
    <cellStyle name="Currency 3 2 2 2 4 2 2" xfId="13937"/>
    <cellStyle name="Currency 3 2 2 2 4 2 2 2" xfId="13938"/>
    <cellStyle name="Currency 3 2 2 2 4 2 2 3" xfId="13939"/>
    <cellStyle name="Currency 3 2 2 2 4 2 3" xfId="13940"/>
    <cellStyle name="Currency 3 2 2 2 4 2 3 2" xfId="13941"/>
    <cellStyle name="Currency 3 2 2 2 4 2 4" xfId="13942"/>
    <cellStyle name="Currency 3 2 2 2 4 3" xfId="13943"/>
    <cellStyle name="Currency 3 2 2 2 4 3 2" xfId="13944"/>
    <cellStyle name="Currency 3 2 2 2 4 3 2 2" xfId="13945"/>
    <cellStyle name="Currency 3 2 2 2 4 3 3" xfId="13946"/>
    <cellStyle name="Currency 3 2 2 2 4 4" xfId="13947"/>
    <cellStyle name="Currency 3 2 2 2 4 4 2" xfId="13948"/>
    <cellStyle name="Currency 3 2 2 2 4 4 3" xfId="13949"/>
    <cellStyle name="Currency 3 2 2 2 4 5" xfId="13950"/>
    <cellStyle name="Currency 3 2 2 2 4 5 2" xfId="13951"/>
    <cellStyle name="Currency 3 2 2 2 4 6" xfId="13952"/>
    <cellStyle name="Currency 3 2 2 2 4 6 2" xfId="36487"/>
    <cellStyle name="Currency 3 2 2 2 4 7" xfId="13953"/>
    <cellStyle name="Currency 3 2 2 2 5" xfId="13954"/>
    <cellStyle name="Currency 3 2 2 2 5 2" xfId="13955"/>
    <cellStyle name="Currency 3 2 2 2 5 2 2" xfId="13956"/>
    <cellStyle name="Currency 3 2 2 2 5 2 2 2" xfId="13957"/>
    <cellStyle name="Currency 3 2 2 2 5 2 3" xfId="13958"/>
    <cellStyle name="Currency 3 2 2 2 5 3" xfId="13959"/>
    <cellStyle name="Currency 3 2 2 2 5 3 2" xfId="13960"/>
    <cellStyle name="Currency 3 2 2 2 5 4" xfId="13961"/>
    <cellStyle name="Currency 3 2 2 2 6" xfId="13962"/>
    <cellStyle name="Currency 3 2 2 2 6 2" xfId="13963"/>
    <cellStyle name="Currency 3 2 2 2 6 2 2" xfId="13964"/>
    <cellStyle name="Currency 3 2 2 2 6 3" xfId="13965"/>
    <cellStyle name="Currency 3 2 2 2 7" xfId="13966"/>
    <cellStyle name="Currency 3 2 2 2 7 2" xfId="13967"/>
    <cellStyle name="Currency 3 2 2 2 7 2 2" xfId="13968"/>
    <cellStyle name="Currency 3 2 2 2 7 3" xfId="13969"/>
    <cellStyle name="Currency 3 2 2 2 8" xfId="13970"/>
    <cellStyle name="Currency 3 2 2 2 8 2" xfId="13971"/>
    <cellStyle name="Currency 3 2 2 2 9" xfId="13972"/>
    <cellStyle name="Currency 3 2 2 2 9 2" xfId="36488"/>
    <cellStyle name="Currency 3 2 2 3" xfId="13973"/>
    <cellStyle name="Currency 3 2 2 3 2" xfId="13974"/>
    <cellStyle name="Currency 3 2 2 3 2 2" xfId="13975"/>
    <cellStyle name="Currency 3 2 2 3 2 2 2" xfId="13976"/>
    <cellStyle name="Currency 3 2 2 3 2 2 2 2" xfId="13977"/>
    <cellStyle name="Currency 3 2 2 3 2 2 2 2 2" xfId="13978"/>
    <cellStyle name="Currency 3 2 2 3 2 2 2 2 3" xfId="13979"/>
    <cellStyle name="Currency 3 2 2 3 2 2 2 3" xfId="13980"/>
    <cellStyle name="Currency 3 2 2 3 2 2 2 3 2" xfId="13981"/>
    <cellStyle name="Currency 3 2 2 3 2 2 2 4" xfId="13982"/>
    <cellStyle name="Currency 3 2 2 3 2 2 3" xfId="13983"/>
    <cellStyle name="Currency 3 2 2 3 2 2 3 2" xfId="13984"/>
    <cellStyle name="Currency 3 2 2 3 2 2 3 2 2" xfId="13985"/>
    <cellStyle name="Currency 3 2 2 3 2 2 3 3" xfId="13986"/>
    <cellStyle name="Currency 3 2 2 3 2 2 4" xfId="13987"/>
    <cellStyle name="Currency 3 2 2 3 2 2 4 2" xfId="13988"/>
    <cellStyle name="Currency 3 2 2 3 2 2 4 3" xfId="13989"/>
    <cellStyle name="Currency 3 2 2 3 2 2 5" xfId="13990"/>
    <cellStyle name="Currency 3 2 2 3 2 2 5 2" xfId="13991"/>
    <cellStyle name="Currency 3 2 2 3 2 2 6" xfId="13992"/>
    <cellStyle name="Currency 3 2 2 3 2 2 6 2" xfId="36489"/>
    <cellStyle name="Currency 3 2 2 3 2 2 7" xfId="13993"/>
    <cellStyle name="Currency 3 2 2 3 2 3" xfId="13994"/>
    <cellStyle name="Currency 3 2 2 3 2 3 2" xfId="13995"/>
    <cellStyle name="Currency 3 2 2 3 2 3 2 2" xfId="13996"/>
    <cellStyle name="Currency 3 2 2 3 2 3 2 2 2" xfId="13997"/>
    <cellStyle name="Currency 3 2 2 3 2 3 2 3" xfId="13998"/>
    <cellStyle name="Currency 3 2 2 3 2 3 3" xfId="13999"/>
    <cellStyle name="Currency 3 2 2 3 2 3 3 2" xfId="14000"/>
    <cellStyle name="Currency 3 2 2 3 2 3 4" xfId="14001"/>
    <cellStyle name="Currency 3 2 2 3 2 4" xfId="14002"/>
    <cellStyle name="Currency 3 2 2 3 2 4 2" xfId="14003"/>
    <cellStyle name="Currency 3 2 2 3 2 4 2 2" xfId="14004"/>
    <cellStyle name="Currency 3 2 2 3 2 4 3" xfId="14005"/>
    <cellStyle name="Currency 3 2 2 3 2 5" xfId="14006"/>
    <cellStyle name="Currency 3 2 2 3 2 5 2" xfId="14007"/>
    <cellStyle name="Currency 3 2 2 3 2 5 2 2" xfId="14008"/>
    <cellStyle name="Currency 3 2 2 3 2 5 3" xfId="14009"/>
    <cellStyle name="Currency 3 2 2 3 2 6" xfId="14010"/>
    <cellStyle name="Currency 3 2 2 3 2 6 2" xfId="14011"/>
    <cellStyle name="Currency 3 2 2 3 2 7" xfId="14012"/>
    <cellStyle name="Currency 3 2 2 3 2 7 2" xfId="36490"/>
    <cellStyle name="Currency 3 2 2 3 2 8" xfId="14013"/>
    <cellStyle name="Currency 3 2 2 3 3" xfId="14014"/>
    <cellStyle name="Currency 3 2 2 3 3 2" xfId="14015"/>
    <cellStyle name="Currency 3 2 2 3 3 2 2" xfId="14016"/>
    <cellStyle name="Currency 3 2 2 3 3 2 2 2" xfId="14017"/>
    <cellStyle name="Currency 3 2 2 3 3 2 2 3" xfId="14018"/>
    <cellStyle name="Currency 3 2 2 3 3 2 3" xfId="14019"/>
    <cellStyle name="Currency 3 2 2 3 3 2 3 2" xfId="14020"/>
    <cellStyle name="Currency 3 2 2 3 3 2 4" xfId="14021"/>
    <cellStyle name="Currency 3 2 2 3 3 3" xfId="14022"/>
    <cellStyle name="Currency 3 2 2 3 3 3 2" xfId="14023"/>
    <cellStyle name="Currency 3 2 2 3 3 3 2 2" xfId="14024"/>
    <cellStyle name="Currency 3 2 2 3 3 3 3" xfId="14025"/>
    <cellStyle name="Currency 3 2 2 3 3 4" xfId="14026"/>
    <cellStyle name="Currency 3 2 2 3 3 4 2" xfId="14027"/>
    <cellStyle name="Currency 3 2 2 3 3 4 3" xfId="14028"/>
    <cellStyle name="Currency 3 2 2 3 3 5" xfId="14029"/>
    <cellStyle name="Currency 3 2 2 3 3 5 2" xfId="14030"/>
    <cellStyle name="Currency 3 2 2 3 3 6" xfId="14031"/>
    <cellStyle name="Currency 3 2 2 3 3 6 2" xfId="36491"/>
    <cellStyle name="Currency 3 2 2 3 3 7" xfId="14032"/>
    <cellStyle name="Currency 3 2 2 3 4" xfId="14033"/>
    <cellStyle name="Currency 3 2 2 3 4 2" xfId="14034"/>
    <cellStyle name="Currency 3 2 2 3 4 2 2" xfId="14035"/>
    <cellStyle name="Currency 3 2 2 3 4 2 2 2" xfId="14036"/>
    <cellStyle name="Currency 3 2 2 3 4 2 3" xfId="14037"/>
    <cellStyle name="Currency 3 2 2 3 4 3" xfId="14038"/>
    <cellStyle name="Currency 3 2 2 3 4 3 2" xfId="14039"/>
    <cellStyle name="Currency 3 2 2 3 4 4" xfId="14040"/>
    <cellStyle name="Currency 3 2 2 3 5" xfId="14041"/>
    <cellStyle name="Currency 3 2 2 3 5 2" xfId="14042"/>
    <cellStyle name="Currency 3 2 2 3 5 2 2" xfId="14043"/>
    <cellStyle name="Currency 3 2 2 3 5 3" xfId="14044"/>
    <cellStyle name="Currency 3 2 2 3 6" xfId="14045"/>
    <cellStyle name="Currency 3 2 2 3 6 2" xfId="14046"/>
    <cellStyle name="Currency 3 2 2 3 6 2 2" xfId="14047"/>
    <cellStyle name="Currency 3 2 2 3 6 3" xfId="14048"/>
    <cellStyle name="Currency 3 2 2 3 7" xfId="14049"/>
    <cellStyle name="Currency 3 2 2 3 7 2" xfId="14050"/>
    <cellStyle name="Currency 3 2 2 3 8" xfId="14051"/>
    <cellStyle name="Currency 3 2 2 3 8 2" xfId="36492"/>
    <cellStyle name="Currency 3 2 2 3 9" xfId="14052"/>
    <cellStyle name="Currency 3 2 2 4" xfId="14053"/>
    <cellStyle name="Currency 3 2 2 4 2" xfId="14054"/>
    <cellStyle name="Currency 3 2 2 4 2 2" xfId="14055"/>
    <cellStyle name="Currency 3 2 2 4 2 2 2" xfId="14056"/>
    <cellStyle name="Currency 3 2 2 4 2 2 2 2" xfId="14057"/>
    <cellStyle name="Currency 3 2 2 4 2 2 2 2 2" xfId="14058"/>
    <cellStyle name="Currency 3 2 2 4 2 2 2 2 3" xfId="14059"/>
    <cellStyle name="Currency 3 2 2 4 2 2 2 3" xfId="14060"/>
    <cellStyle name="Currency 3 2 2 4 2 2 2 3 2" xfId="14061"/>
    <cellStyle name="Currency 3 2 2 4 2 2 2 4" xfId="14062"/>
    <cellStyle name="Currency 3 2 2 4 2 2 3" xfId="14063"/>
    <cellStyle name="Currency 3 2 2 4 2 2 3 2" xfId="14064"/>
    <cellStyle name="Currency 3 2 2 4 2 2 3 2 2" xfId="14065"/>
    <cellStyle name="Currency 3 2 2 4 2 2 3 3" xfId="14066"/>
    <cellStyle name="Currency 3 2 2 4 2 2 4" xfId="14067"/>
    <cellStyle name="Currency 3 2 2 4 2 2 4 2" xfId="14068"/>
    <cellStyle name="Currency 3 2 2 4 2 2 4 3" xfId="14069"/>
    <cellStyle name="Currency 3 2 2 4 2 2 5" xfId="14070"/>
    <cellStyle name="Currency 3 2 2 4 2 2 5 2" xfId="14071"/>
    <cellStyle name="Currency 3 2 2 4 2 2 6" xfId="14072"/>
    <cellStyle name="Currency 3 2 2 4 2 2 6 2" xfId="36493"/>
    <cellStyle name="Currency 3 2 2 4 2 2 7" xfId="14073"/>
    <cellStyle name="Currency 3 2 2 4 2 3" xfId="14074"/>
    <cellStyle name="Currency 3 2 2 4 2 3 2" xfId="14075"/>
    <cellStyle name="Currency 3 2 2 4 2 3 2 2" xfId="14076"/>
    <cellStyle name="Currency 3 2 2 4 2 3 2 2 2" xfId="14077"/>
    <cellStyle name="Currency 3 2 2 4 2 3 2 3" xfId="14078"/>
    <cellStyle name="Currency 3 2 2 4 2 3 3" xfId="14079"/>
    <cellStyle name="Currency 3 2 2 4 2 3 3 2" xfId="14080"/>
    <cellStyle name="Currency 3 2 2 4 2 3 4" xfId="14081"/>
    <cellStyle name="Currency 3 2 2 4 2 4" xfId="14082"/>
    <cellStyle name="Currency 3 2 2 4 2 4 2" xfId="14083"/>
    <cellStyle name="Currency 3 2 2 4 2 4 2 2" xfId="14084"/>
    <cellStyle name="Currency 3 2 2 4 2 4 3" xfId="14085"/>
    <cellStyle name="Currency 3 2 2 4 2 5" xfId="14086"/>
    <cellStyle name="Currency 3 2 2 4 2 5 2" xfId="14087"/>
    <cellStyle name="Currency 3 2 2 4 2 5 2 2" xfId="14088"/>
    <cellStyle name="Currency 3 2 2 4 2 5 3" xfId="14089"/>
    <cellStyle name="Currency 3 2 2 4 2 6" xfId="14090"/>
    <cellStyle name="Currency 3 2 2 4 2 6 2" xfId="14091"/>
    <cellStyle name="Currency 3 2 2 4 2 7" xfId="14092"/>
    <cellStyle name="Currency 3 2 2 4 2 7 2" xfId="36494"/>
    <cellStyle name="Currency 3 2 2 4 2 8" xfId="14093"/>
    <cellStyle name="Currency 3 2 2 4 3" xfId="14094"/>
    <cellStyle name="Currency 3 2 2 4 3 2" xfId="14095"/>
    <cellStyle name="Currency 3 2 2 4 3 2 2" xfId="14096"/>
    <cellStyle name="Currency 3 2 2 4 3 2 2 2" xfId="14097"/>
    <cellStyle name="Currency 3 2 2 4 3 2 2 3" xfId="14098"/>
    <cellStyle name="Currency 3 2 2 4 3 2 3" xfId="14099"/>
    <cellStyle name="Currency 3 2 2 4 3 2 3 2" xfId="14100"/>
    <cellStyle name="Currency 3 2 2 4 3 2 4" xfId="14101"/>
    <cellStyle name="Currency 3 2 2 4 3 3" xfId="14102"/>
    <cellStyle name="Currency 3 2 2 4 3 3 2" xfId="14103"/>
    <cellStyle name="Currency 3 2 2 4 3 3 2 2" xfId="14104"/>
    <cellStyle name="Currency 3 2 2 4 3 3 3" xfId="14105"/>
    <cellStyle name="Currency 3 2 2 4 3 4" xfId="14106"/>
    <cellStyle name="Currency 3 2 2 4 3 4 2" xfId="14107"/>
    <cellStyle name="Currency 3 2 2 4 3 4 3" xfId="14108"/>
    <cellStyle name="Currency 3 2 2 4 3 5" xfId="14109"/>
    <cellStyle name="Currency 3 2 2 4 3 5 2" xfId="14110"/>
    <cellStyle name="Currency 3 2 2 4 3 6" xfId="14111"/>
    <cellStyle name="Currency 3 2 2 4 3 6 2" xfId="36495"/>
    <cellStyle name="Currency 3 2 2 4 3 7" xfId="14112"/>
    <cellStyle name="Currency 3 2 2 4 4" xfId="14113"/>
    <cellStyle name="Currency 3 2 2 4 4 2" xfId="14114"/>
    <cellStyle name="Currency 3 2 2 4 4 2 2" xfId="14115"/>
    <cellStyle name="Currency 3 2 2 4 4 2 2 2" xfId="14116"/>
    <cellStyle name="Currency 3 2 2 4 4 2 3" xfId="14117"/>
    <cellStyle name="Currency 3 2 2 4 4 3" xfId="14118"/>
    <cellStyle name="Currency 3 2 2 4 4 3 2" xfId="14119"/>
    <cellStyle name="Currency 3 2 2 4 4 4" xfId="14120"/>
    <cellStyle name="Currency 3 2 2 4 5" xfId="14121"/>
    <cellStyle name="Currency 3 2 2 4 5 2" xfId="14122"/>
    <cellStyle name="Currency 3 2 2 4 5 2 2" xfId="14123"/>
    <cellStyle name="Currency 3 2 2 4 5 3" xfId="14124"/>
    <cellStyle name="Currency 3 2 2 4 6" xfId="14125"/>
    <cellStyle name="Currency 3 2 2 4 6 2" xfId="14126"/>
    <cellStyle name="Currency 3 2 2 4 6 2 2" xfId="14127"/>
    <cellStyle name="Currency 3 2 2 4 6 3" xfId="14128"/>
    <cellStyle name="Currency 3 2 2 4 7" xfId="14129"/>
    <cellStyle name="Currency 3 2 2 4 7 2" xfId="14130"/>
    <cellStyle name="Currency 3 2 2 4 8" xfId="14131"/>
    <cellStyle name="Currency 3 2 2 4 8 2" xfId="36496"/>
    <cellStyle name="Currency 3 2 2 4 9" xfId="14132"/>
    <cellStyle name="Currency 3 2 2 5" xfId="14133"/>
    <cellStyle name="Currency 3 2 2 5 2" xfId="14134"/>
    <cellStyle name="Currency 3 2 2 5 2 2" xfId="14135"/>
    <cellStyle name="Currency 3 2 2 5 2 2 2" xfId="14136"/>
    <cellStyle name="Currency 3 2 2 5 2 2 2 2" xfId="14137"/>
    <cellStyle name="Currency 3 2 2 5 2 2 2 3" xfId="14138"/>
    <cellStyle name="Currency 3 2 2 5 2 2 3" xfId="14139"/>
    <cellStyle name="Currency 3 2 2 5 2 2 3 2" xfId="14140"/>
    <cellStyle name="Currency 3 2 2 5 2 2 4" xfId="14141"/>
    <cellStyle name="Currency 3 2 2 5 2 3" xfId="14142"/>
    <cellStyle name="Currency 3 2 2 5 2 3 2" xfId="14143"/>
    <cellStyle name="Currency 3 2 2 5 2 3 2 2" xfId="14144"/>
    <cellStyle name="Currency 3 2 2 5 2 3 3" xfId="14145"/>
    <cellStyle name="Currency 3 2 2 5 2 4" xfId="14146"/>
    <cellStyle name="Currency 3 2 2 5 2 4 2" xfId="14147"/>
    <cellStyle name="Currency 3 2 2 5 2 4 3" xfId="14148"/>
    <cellStyle name="Currency 3 2 2 5 2 5" xfId="14149"/>
    <cellStyle name="Currency 3 2 2 5 2 5 2" xfId="14150"/>
    <cellStyle name="Currency 3 2 2 5 2 6" xfId="14151"/>
    <cellStyle name="Currency 3 2 2 5 2 6 2" xfId="36497"/>
    <cellStyle name="Currency 3 2 2 5 2 7" xfId="14152"/>
    <cellStyle name="Currency 3 2 2 5 3" xfId="14153"/>
    <cellStyle name="Currency 3 2 2 5 3 2" xfId="14154"/>
    <cellStyle name="Currency 3 2 2 5 3 2 2" xfId="14155"/>
    <cellStyle name="Currency 3 2 2 5 3 2 2 2" xfId="14156"/>
    <cellStyle name="Currency 3 2 2 5 3 2 3" xfId="14157"/>
    <cellStyle name="Currency 3 2 2 5 3 3" xfId="14158"/>
    <cellStyle name="Currency 3 2 2 5 3 3 2" xfId="14159"/>
    <cellStyle name="Currency 3 2 2 5 3 4" xfId="14160"/>
    <cellStyle name="Currency 3 2 2 5 4" xfId="14161"/>
    <cellStyle name="Currency 3 2 2 5 4 2" xfId="14162"/>
    <cellStyle name="Currency 3 2 2 5 4 2 2" xfId="14163"/>
    <cellStyle name="Currency 3 2 2 5 4 3" xfId="14164"/>
    <cellStyle name="Currency 3 2 2 5 5" xfId="14165"/>
    <cellStyle name="Currency 3 2 2 5 5 2" xfId="14166"/>
    <cellStyle name="Currency 3 2 2 5 5 2 2" xfId="14167"/>
    <cellStyle name="Currency 3 2 2 5 5 3" xfId="14168"/>
    <cellStyle name="Currency 3 2 2 5 6" xfId="14169"/>
    <cellStyle name="Currency 3 2 2 5 6 2" xfId="14170"/>
    <cellStyle name="Currency 3 2 2 5 7" xfId="14171"/>
    <cellStyle name="Currency 3 2 2 5 7 2" xfId="36498"/>
    <cellStyle name="Currency 3 2 2 5 8" xfId="14172"/>
    <cellStyle name="Currency 3 2 2 6" xfId="14173"/>
    <cellStyle name="Currency 3 2 2 6 2" xfId="14174"/>
    <cellStyle name="Currency 3 2 2 6 2 2" xfId="14175"/>
    <cellStyle name="Currency 3 2 2 6 2 2 2" xfId="14176"/>
    <cellStyle name="Currency 3 2 2 6 2 2 2 2" xfId="14177"/>
    <cellStyle name="Currency 3 2 2 6 2 2 2 3" xfId="14178"/>
    <cellStyle name="Currency 3 2 2 6 2 2 3" xfId="14179"/>
    <cellStyle name="Currency 3 2 2 6 2 2 3 2" xfId="14180"/>
    <cellStyle name="Currency 3 2 2 6 2 2 4" xfId="14181"/>
    <cellStyle name="Currency 3 2 2 6 2 3" xfId="14182"/>
    <cellStyle name="Currency 3 2 2 6 2 3 2" xfId="14183"/>
    <cellStyle name="Currency 3 2 2 6 2 3 2 2" xfId="14184"/>
    <cellStyle name="Currency 3 2 2 6 2 3 3" xfId="14185"/>
    <cellStyle name="Currency 3 2 2 6 2 4" xfId="14186"/>
    <cellStyle name="Currency 3 2 2 6 2 4 2" xfId="14187"/>
    <cellStyle name="Currency 3 2 2 6 2 4 3" xfId="14188"/>
    <cellStyle name="Currency 3 2 2 6 2 5" xfId="14189"/>
    <cellStyle name="Currency 3 2 2 6 2 5 2" xfId="14190"/>
    <cellStyle name="Currency 3 2 2 6 2 6" xfId="14191"/>
    <cellStyle name="Currency 3 2 2 6 2 6 2" xfId="36499"/>
    <cellStyle name="Currency 3 2 2 6 2 7" xfId="14192"/>
    <cellStyle name="Currency 3 2 2 6 3" xfId="14193"/>
    <cellStyle name="Currency 3 2 2 6 3 2" xfId="14194"/>
    <cellStyle name="Currency 3 2 2 6 3 2 2" xfId="14195"/>
    <cellStyle name="Currency 3 2 2 6 3 2 2 2" xfId="14196"/>
    <cellStyle name="Currency 3 2 2 6 3 2 3" xfId="14197"/>
    <cellStyle name="Currency 3 2 2 6 3 3" xfId="14198"/>
    <cellStyle name="Currency 3 2 2 6 3 3 2" xfId="14199"/>
    <cellStyle name="Currency 3 2 2 6 3 4" xfId="14200"/>
    <cellStyle name="Currency 3 2 2 6 4" xfId="14201"/>
    <cellStyle name="Currency 3 2 2 6 4 2" xfId="14202"/>
    <cellStyle name="Currency 3 2 2 6 4 2 2" xfId="14203"/>
    <cellStyle name="Currency 3 2 2 6 4 3" xfId="14204"/>
    <cellStyle name="Currency 3 2 2 6 5" xfId="14205"/>
    <cellStyle name="Currency 3 2 2 6 5 2" xfId="14206"/>
    <cellStyle name="Currency 3 2 2 6 5 2 2" xfId="14207"/>
    <cellStyle name="Currency 3 2 2 6 5 3" xfId="14208"/>
    <cellStyle name="Currency 3 2 2 6 6" xfId="14209"/>
    <cellStyle name="Currency 3 2 2 6 6 2" xfId="14210"/>
    <cellStyle name="Currency 3 2 2 6 7" xfId="14211"/>
    <cellStyle name="Currency 3 2 2 6 7 2" xfId="36500"/>
    <cellStyle name="Currency 3 2 2 6 8" xfId="14212"/>
    <cellStyle name="Currency 3 2 2 7" xfId="14213"/>
    <cellStyle name="Currency 3 2 2 7 2" xfId="14214"/>
    <cellStyle name="Currency 3 2 2 7 2 2" xfId="14215"/>
    <cellStyle name="Currency 3 2 2 7 2 2 2" xfId="14216"/>
    <cellStyle name="Currency 3 2 2 7 2 2 2 2" xfId="14217"/>
    <cellStyle name="Currency 3 2 2 7 2 2 2 3" xfId="14218"/>
    <cellStyle name="Currency 3 2 2 7 2 2 3" xfId="14219"/>
    <cellStyle name="Currency 3 2 2 7 2 2 3 2" xfId="14220"/>
    <cellStyle name="Currency 3 2 2 7 2 2 4" xfId="14221"/>
    <cellStyle name="Currency 3 2 2 7 2 3" xfId="14222"/>
    <cellStyle name="Currency 3 2 2 7 2 3 2" xfId="14223"/>
    <cellStyle name="Currency 3 2 2 7 2 3 2 2" xfId="14224"/>
    <cellStyle name="Currency 3 2 2 7 2 3 3" xfId="14225"/>
    <cellStyle name="Currency 3 2 2 7 2 4" xfId="14226"/>
    <cellStyle name="Currency 3 2 2 7 2 4 2" xfId="14227"/>
    <cellStyle name="Currency 3 2 2 7 2 4 3" xfId="14228"/>
    <cellStyle name="Currency 3 2 2 7 2 5" xfId="14229"/>
    <cellStyle name="Currency 3 2 2 7 2 5 2" xfId="14230"/>
    <cellStyle name="Currency 3 2 2 7 2 6" xfId="14231"/>
    <cellStyle name="Currency 3 2 2 7 2 6 2" xfId="36501"/>
    <cellStyle name="Currency 3 2 2 7 2 7" xfId="14232"/>
    <cellStyle name="Currency 3 2 2 7 3" xfId="14233"/>
    <cellStyle name="Currency 3 2 2 7 3 2" xfId="14234"/>
    <cellStyle name="Currency 3 2 2 7 3 2 2" xfId="14235"/>
    <cellStyle name="Currency 3 2 2 7 3 2 2 2" xfId="14236"/>
    <cellStyle name="Currency 3 2 2 7 3 2 3" xfId="14237"/>
    <cellStyle name="Currency 3 2 2 7 3 3" xfId="14238"/>
    <cellStyle name="Currency 3 2 2 7 3 3 2" xfId="14239"/>
    <cellStyle name="Currency 3 2 2 7 3 4" xfId="14240"/>
    <cellStyle name="Currency 3 2 2 7 4" xfId="14241"/>
    <cellStyle name="Currency 3 2 2 7 4 2" xfId="14242"/>
    <cellStyle name="Currency 3 2 2 7 4 2 2" xfId="14243"/>
    <cellStyle name="Currency 3 2 2 7 4 3" xfId="14244"/>
    <cellStyle name="Currency 3 2 2 7 5" xfId="14245"/>
    <cellStyle name="Currency 3 2 2 7 5 2" xfId="14246"/>
    <cellStyle name="Currency 3 2 2 7 5 2 2" xfId="14247"/>
    <cellStyle name="Currency 3 2 2 7 5 3" xfId="14248"/>
    <cellStyle name="Currency 3 2 2 7 6" xfId="14249"/>
    <cellStyle name="Currency 3 2 2 7 6 2" xfId="14250"/>
    <cellStyle name="Currency 3 2 2 7 7" xfId="14251"/>
    <cellStyle name="Currency 3 2 2 7 7 2" xfId="36502"/>
    <cellStyle name="Currency 3 2 2 7 8" xfId="14252"/>
    <cellStyle name="Currency 3 2 2 8" xfId="14253"/>
    <cellStyle name="Currency 3 2 2 8 2" xfId="14254"/>
    <cellStyle name="Currency 3 2 2 8 2 2" xfId="14255"/>
    <cellStyle name="Currency 3 2 2 8 2 2 2" xfId="14256"/>
    <cellStyle name="Currency 3 2 2 8 2 2 3" xfId="14257"/>
    <cellStyle name="Currency 3 2 2 8 2 3" xfId="14258"/>
    <cellStyle name="Currency 3 2 2 8 2 3 2" xfId="14259"/>
    <cellStyle name="Currency 3 2 2 8 2 4" xfId="14260"/>
    <cellStyle name="Currency 3 2 2 8 3" xfId="14261"/>
    <cellStyle name="Currency 3 2 2 8 3 2" xfId="14262"/>
    <cellStyle name="Currency 3 2 2 8 3 2 2" xfId="14263"/>
    <cellStyle name="Currency 3 2 2 8 3 3" xfId="14264"/>
    <cellStyle name="Currency 3 2 2 8 4" xfId="14265"/>
    <cellStyle name="Currency 3 2 2 8 4 2" xfId="14266"/>
    <cellStyle name="Currency 3 2 2 8 4 3" xfId="14267"/>
    <cellStyle name="Currency 3 2 2 8 5" xfId="14268"/>
    <cellStyle name="Currency 3 2 2 8 5 2" xfId="14269"/>
    <cellStyle name="Currency 3 2 2 8 6" xfId="14270"/>
    <cellStyle name="Currency 3 2 2 8 6 2" xfId="36503"/>
    <cellStyle name="Currency 3 2 2 8 7" xfId="14271"/>
    <cellStyle name="Currency 3 2 2 9" xfId="14272"/>
    <cellStyle name="Currency 3 2 2 9 2" xfId="14273"/>
    <cellStyle name="Currency 3 2 2 9 2 2" xfId="14274"/>
    <cellStyle name="Currency 3 2 2 9 2 2 2" xfId="14275"/>
    <cellStyle name="Currency 3 2 2 9 2 3" xfId="14276"/>
    <cellStyle name="Currency 3 2 2 9 3" xfId="14277"/>
    <cellStyle name="Currency 3 2 2 9 3 2" xfId="14278"/>
    <cellStyle name="Currency 3 2 2 9 4" xfId="14279"/>
    <cellStyle name="Currency 3 2 3" xfId="14280"/>
    <cellStyle name="Currency 3 2 3 10" xfId="14281"/>
    <cellStyle name="Currency 3 2 3 10 2" xfId="14282"/>
    <cellStyle name="Currency 3 2 3 10 2 2" xfId="14283"/>
    <cellStyle name="Currency 3 2 3 10 3" xfId="14284"/>
    <cellStyle name="Currency 3 2 3 11" xfId="14285"/>
    <cellStyle name="Currency 3 2 3 11 2" xfId="14286"/>
    <cellStyle name="Currency 3 2 3 11 2 2" xfId="14287"/>
    <cellStyle name="Currency 3 2 3 11 3" xfId="14288"/>
    <cellStyle name="Currency 3 2 3 12" xfId="14289"/>
    <cellStyle name="Currency 3 2 3 12 2" xfId="14290"/>
    <cellStyle name="Currency 3 2 3 13" xfId="14291"/>
    <cellStyle name="Currency 3 2 3 13 2" xfId="36504"/>
    <cellStyle name="Currency 3 2 3 14" xfId="14292"/>
    <cellStyle name="Currency 3 2 3 2" xfId="14293"/>
    <cellStyle name="Currency 3 2 3 2 10" xfId="14294"/>
    <cellStyle name="Currency 3 2 3 2 2" xfId="14295"/>
    <cellStyle name="Currency 3 2 3 2 2 2" xfId="14296"/>
    <cellStyle name="Currency 3 2 3 2 2 2 2" xfId="14297"/>
    <cellStyle name="Currency 3 2 3 2 2 2 2 2" xfId="14298"/>
    <cellStyle name="Currency 3 2 3 2 2 2 2 2 2" xfId="14299"/>
    <cellStyle name="Currency 3 2 3 2 2 2 2 2 2 2" xfId="14300"/>
    <cellStyle name="Currency 3 2 3 2 2 2 2 2 2 3" xfId="14301"/>
    <cellStyle name="Currency 3 2 3 2 2 2 2 2 3" xfId="14302"/>
    <cellStyle name="Currency 3 2 3 2 2 2 2 2 3 2" xfId="14303"/>
    <cellStyle name="Currency 3 2 3 2 2 2 2 2 4" xfId="14304"/>
    <cellStyle name="Currency 3 2 3 2 2 2 2 3" xfId="14305"/>
    <cellStyle name="Currency 3 2 3 2 2 2 2 3 2" xfId="14306"/>
    <cellStyle name="Currency 3 2 3 2 2 2 2 3 2 2" xfId="14307"/>
    <cellStyle name="Currency 3 2 3 2 2 2 2 3 3" xfId="14308"/>
    <cellStyle name="Currency 3 2 3 2 2 2 2 4" xfId="14309"/>
    <cellStyle name="Currency 3 2 3 2 2 2 2 4 2" xfId="14310"/>
    <cellStyle name="Currency 3 2 3 2 2 2 2 4 3" xfId="14311"/>
    <cellStyle name="Currency 3 2 3 2 2 2 2 5" xfId="14312"/>
    <cellStyle name="Currency 3 2 3 2 2 2 2 5 2" xfId="14313"/>
    <cellStyle name="Currency 3 2 3 2 2 2 2 6" xfId="14314"/>
    <cellStyle name="Currency 3 2 3 2 2 2 2 6 2" xfId="36505"/>
    <cellStyle name="Currency 3 2 3 2 2 2 2 7" xfId="14315"/>
    <cellStyle name="Currency 3 2 3 2 2 2 3" xfId="14316"/>
    <cellStyle name="Currency 3 2 3 2 2 2 3 2" xfId="14317"/>
    <cellStyle name="Currency 3 2 3 2 2 2 3 2 2" xfId="14318"/>
    <cellStyle name="Currency 3 2 3 2 2 2 3 2 2 2" xfId="14319"/>
    <cellStyle name="Currency 3 2 3 2 2 2 3 2 3" xfId="14320"/>
    <cellStyle name="Currency 3 2 3 2 2 2 3 3" xfId="14321"/>
    <cellStyle name="Currency 3 2 3 2 2 2 3 3 2" xfId="14322"/>
    <cellStyle name="Currency 3 2 3 2 2 2 3 4" xfId="14323"/>
    <cellStyle name="Currency 3 2 3 2 2 2 4" xfId="14324"/>
    <cellStyle name="Currency 3 2 3 2 2 2 4 2" xfId="14325"/>
    <cellStyle name="Currency 3 2 3 2 2 2 4 2 2" xfId="14326"/>
    <cellStyle name="Currency 3 2 3 2 2 2 4 3" xfId="14327"/>
    <cellStyle name="Currency 3 2 3 2 2 2 5" xfId="14328"/>
    <cellStyle name="Currency 3 2 3 2 2 2 5 2" xfId="14329"/>
    <cellStyle name="Currency 3 2 3 2 2 2 5 2 2" xfId="14330"/>
    <cellStyle name="Currency 3 2 3 2 2 2 5 3" xfId="14331"/>
    <cellStyle name="Currency 3 2 3 2 2 2 6" xfId="14332"/>
    <cellStyle name="Currency 3 2 3 2 2 2 6 2" xfId="14333"/>
    <cellStyle name="Currency 3 2 3 2 2 2 7" xfId="14334"/>
    <cellStyle name="Currency 3 2 3 2 2 2 7 2" xfId="36506"/>
    <cellStyle name="Currency 3 2 3 2 2 2 8" xfId="14335"/>
    <cellStyle name="Currency 3 2 3 2 2 3" xfId="14336"/>
    <cellStyle name="Currency 3 2 3 2 2 3 2" xfId="14337"/>
    <cellStyle name="Currency 3 2 3 2 2 3 2 2" xfId="14338"/>
    <cellStyle name="Currency 3 2 3 2 2 3 2 2 2" xfId="14339"/>
    <cellStyle name="Currency 3 2 3 2 2 3 2 2 3" xfId="14340"/>
    <cellStyle name="Currency 3 2 3 2 2 3 2 3" xfId="14341"/>
    <cellStyle name="Currency 3 2 3 2 2 3 2 3 2" xfId="14342"/>
    <cellStyle name="Currency 3 2 3 2 2 3 2 4" xfId="14343"/>
    <cellStyle name="Currency 3 2 3 2 2 3 3" xfId="14344"/>
    <cellStyle name="Currency 3 2 3 2 2 3 3 2" xfId="14345"/>
    <cellStyle name="Currency 3 2 3 2 2 3 3 2 2" xfId="14346"/>
    <cellStyle name="Currency 3 2 3 2 2 3 3 3" xfId="14347"/>
    <cellStyle name="Currency 3 2 3 2 2 3 4" xfId="14348"/>
    <cellStyle name="Currency 3 2 3 2 2 3 4 2" xfId="14349"/>
    <cellStyle name="Currency 3 2 3 2 2 3 4 3" xfId="14350"/>
    <cellStyle name="Currency 3 2 3 2 2 3 5" xfId="14351"/>
    <cellStyle name="Currency 3 2 3 2 2 3 5 2" xfId="14352"/>
    <cellStyle name="Currency 3 2 3 2 2 3 6" xfId="14353"/>
    <cellStyle name="Currency 3 2 3 2 2 3 6 2" xfId="36507"/>
    <cellStyle name="Currency 3 2 3 2 2 3 7" xfId="14354"/>
    <cellStyle name="Currency 3 2 3 2 2 4" xfId="14355"/>
    <cellStyle name="Currency 3 2 3 2 2 4 2" xfId="14356"/>
    <cellStyle name="Currency 3 2 3 2 2 4 2 2" xfId="14357"/>
    <cellStyle name="Currency 3 2 3 2 2 4 2 2 2" xfId="14358"/>
    <cellStyle name="Currency 3 2 3 2 2 4 2 3" xfId="14359"/>
    <cellStyle name="Currency 3 2 3 2 2 4 3" xfId="14360"/>
    <cellStyle name="Currency 3 2 3 2 2 4 3 2" xfId="14361"/>
    <cellStyle name="Currency 3 2 3 2 2 4 4" xfId="14362"/>
    <cellStyle name="Currency 3 2 3 2 2 5" xfId="14363"/>
    <cellStyle name="Currency 3 2 3 2 2 5 2" xfId="14364"/>
    <cellStyle name="Currency 3 2 3 2 2 5 2 2" xfId="14365"/>
    <cellStyle name="Currency 3 2 3 2 2 5 3" xfId="14366"/>
    <cellStyle name="Currency 3 2 3 2 2 6" xfId="14367"/>
    <cellStyle name="Currency 3 2 3 2 2 6 2" xfId="14368"/>
    <cellStyle name="Currency 3 2 3 2 2 6 2 2" xfId="14369"/>
    <cellStyle name="Currency 3 2 3 2 2 6 3" xfId="14370"/>
    <cellStyle name="Currency 3 2 3 2 2 7" xfId="14371"/>
    <cellStyle name="Currency 3 2 3 2 2 7 2" xfId="14372"/>
    <cellStyle name="Currency 3 2 3 2 2 8" xfId="14373"/>
    <cellStyle name="Currency 3 2 3 2 2 8 2" xfId="36508"/>
    <cellStyle name="Currency 3 2 3 2 2 9" xfId="14374"/>
    <cellStyle name="Currency 3 2 3 2 3" xfId="14375"/>
    <cellStyle name="Currency 3 2 3 2 3 2" xfId="14376"/>
    <cellStyle name="Currency 3 2 3 2 3 2 2" xfId="14377"/>
    <cellStyle name="Currency 3 2 3 2 3 2 2 2" xfId="14378"/>
    <cellStyle name="Currency 3 2 3 2 3 2 2 2 2" xfId="14379"/>
    <cellStyle name="Currency 3 2 3 2 3 2 2 2 3" xfId="14380"/>
    <cellStyle name="Currency 3 2 3 2 3 2 2 3" xfId="14381"/>
    <cellStyle name="Currency 3 2 3 2 3 2 2 3 2" xfId="14382"/>
    <cellStyle name="Currency 3 2 3 2 3 2 2 4" xfId="14383"/>
    <cellStyle name="Currency 3 2 3 2 3 2 3" xfId="14384"/>
    <cellStyle name="Currency 3 2 3 2 3 2 3 2" xfId="14385"/>
    <cellStyle name="Currency 3 2 3 2 3 2 3 2 2" xfId="14386"/>
    <cellStyle name="Currency 3 2 3 2 3 2 3 3" xfId="14387"/>
    <cellStyle name="Currency 3 2 3 2 3 2 4" xfId="14388"/>
    <cellStyle name="Currency 3 2 3 2 3 2 4 2" xfId="14389"/>
    <cellStyle name="Currency 3 2 3 2 3 2 4 3" xfId="14390"/>
    <cellStyle name="Currency 3 2 3 2 3 2 5" xfId="14391"/>
    <cellStyle name="Currency 3 2 3 2 3 2 5 2" xfId="14392"/>
    <cellStyle name="Currency 3 2 3 2 3 2 6" xfId="14393"/>
    <cellStyle name="Currency 3 2 3 2 3 2 6 2" xfId="36509"/>
    <cellStyle name="Currency 3 2 3 2 3 2 7" xfId="14394"/>
    <cellStyle name="Currency 3 2 3 2 3 3" xfId="14395"/>
    <cellStyle name="Currency 3 2 3 2 3 3 2" xfId="14396"/>
    <cellStyle name="Currency 3 2 3 2 3 3 2 2" xfId="14397"/>
    <cellStyle name="Currency 3 2 3 2 3 3 2 2 2" xfId="14398"/>
    <cellStyle name="Currency 3 2 3 2 3 3 2 3" xfId="14399"/>
    <cellStyle name="Currency 3 2 3 2 3 3 3" xfId="14400"/>
    <cellStyle name="Currency 3 2 3 2 3 3 3 2" xfId="14401"/>
    <cellStyle name="Currency 3 2 3 2 3 3 4" xfId="14402"/>
    <cellStyle name="Currency 3 2 3 2 3 4" xfId="14403"/>
    <cellStyle name="Currency 3 2 3 2 3 4 2" xfId="14404"/>
    <cellStyle name="Currency 3 2 3 2 3 4 2 2" xfId="14405"/>
    <cellStyle name="Currency 3 2 3 2 3 4 3" xfId="14406"/>
    <cellStyle name="Currency 3 2 3 2 3 5" xfId="14407"/>
    <cellStyle name="Currency 3 2 3 2 3 5 2" xfId="14408"/>
    <cellStyle name="Currency 3 2 3 2 3 5 2 2" xfId="14409"/>
    <cellStyle name="Currency 3 2 3 2 3 5 3" xfId="14410"/>
    <cellStyle name="Currency 3 2 3 2 3 6" xfId="14411"/>
    <cellStyle name="Currency 3 2 3 2 3 6 2" xfId="14412"/>
    <cellStyle name="Currency 3 2 3 2 3 7" xfId="14413"/>
    <cellStyle name="Currency 3 2 3 2 3 7 2" xfId="36510"/>
    <cellStyle name="Currency 3 2 3 2 3 8" xfId="14414"/>
    <cellStyle name="Currency 3 2 3 2 4" xfId="14415"/>
    <cellStyle name="Currency 3 2 3 2 4 2" xfId="14416"/>
    <cellStyle name="Currency 3 2 3 2 4 2 2" xfId="14417"/>
    <cellStyle name="Currency 3 2 3 2 4 2 2 2" xfId="14418"/>
    <cellStyle name="Currency 3 2 3 2 4 2 2 3" xfId="14419"/>
    <cellStyle name="Currency 3 2 3 2 4 2 3" xfId="14420"/>
    <cellStyle name="Currency 3 2 3 2 4 2 3 2" xfId="14421"/>
    <cellStyle name="Currency 3 2 3 2 4 2 4" xfId="14422"/>
    <cellStyle name="Currency 3 2 3 2 4 3" xfId="14423"/>
    <cellStyle name="Currency 3 2 3 2 4 3 2" xfId="14424"/>
    <cellStyle name="Currency 3 2 3 2 4 3 2 2" xfId="14425"/>
    <cellStyle name="Currency 3 2 3 2 4 3 3" xfId="14426"/>
    <cellStyle name="Currency 3 2 3 2 4 4" xfId="14427"/>
    <cellStyle name="Currency 3 2 3 2 4 4 2" xfId="14428"/>
    <cellStyle name="Currency 3 2 3 2 4 4 3" xfId="14429"/>
    <cellStyle name="Currency 3 2 3 2 4 5" xfId="14430"/>
    <cellStyle name="Currency 3 2 3 2 4 5 2" xfId="14431"/>
    <cellStyle name="Currency 3 2 3 2 4 6" xfId="14432"/>
    <cellStyle name="Currency 3 2 3 2 4 6 2" xfId="36511"/>
    <cellStyle name="Currency 3 2 3 2 4 7" xfId="14433"/>
    <cellStyle name="Currency 3 2 3 2 5" xfId="14434"/>
    <cellStyle name="Currency 3 2 3 2 5 2" xfId="14435"/>
    <cellStyle name="Currency 3 2 3 2 5 2 2" xfId="14436"/>
    <cellStyle name="Currency 3 2 3 2 5 2 2 2" xfId="14437"/>
    <cellStyle name="Currency 3 2 3 2 5 2 3" xfId="14438"/>
    <cellStyle name="Currency 3 2 3 2 5 3" xfId="14439"/>
    <cellStyle name="Currency 3 2 3 2 5 3 2" xfId="14440"/>
    <cellStyle name="Currency 3 2 3 2 5 4" xfId="14441"/>
    <cellStyle name="Currency 3 2 3 2 6" xfId="14442"/>
    <cellStyle name="Currency 3 2 3 2 6 2" xfId="14443"/>
    <cellStyle name="Currency 3 2 3 2 6 2 2" xfId="14444"/>
    <cellStyle name="Currency 3 2 3 2 6 3" xfId="14445"/>
    <cellStyle name="Currency 3 2 3 2 7" xfId="14446"/>
    <cellStyle name="Currency 3 2 3 2 7 2" xfId="14447"/>
    <cellStyle name="Currency 3 2 3 2 7 2 2" xfId="14448"/>
    <cellStyle name="Currency 3 2 3 2 7 3" xfId="14449"/>
    <cellStyle name="Currency 3 2 3 2 8" xfId="14450"/>
    <cellStyle name="Currency 3 2 3 2 8 2" xfId="14451"/>
    <cellStyle name="Currency 3 2 3 2 9" xfId="14452"/>
    <cellStyle name="Currency 3 2 3 2 9 2" xfId="36512"/>
    <cellStyle name="Currency 3 2 3 3" xfId="14453"/>
    <cellStyle name="Currency 3 2 3 3 2" xfId="14454"/>
    <cellStyle name="Currency 3 2 3 3 2 2" xfId="14455"/>
    <cellStyle name="Currency 3 2 3 3 2 2 2" xfId="14456"/>
    <cellStyle name="Currency 3 2 3 3 2 2 2 2" xfId="14457"/>
    <cellStyle name="Currency 3 2 3 3 2 2 2 2 2" xfId="14458"/>
    <cellStyle name="Currency 3 2 3 3 2 2 2 2 3" xfId="14459"/>
    <cellStyle name="Currency 3 2 3 3 2 2 2 3" xfId="14460"/>
    <cellStyle name="Currency 3 2 3 3 2 2 2 3 2" xfId="14461"/>
    <cellStyle name="Currency 3 2 3 3 2 2 2 4" xfId="14462"/>
    <cellStyle name="Currency 3 2 3 3 2 2 3" xfId="14463"/>
    <cellStyle name="Currency 3 2 3 3 2 2 3 2" xfId="14464"/>
    <cellStyle name="Currency 3 2 3 3 2 2 3 2 2" xfId="14465"/>
    <cellStyle name="Currency 3 2 3 3 2 2 3 3" xfId="14466"/>
    <cellStyle name="Currency 3 2 3 3 2 2 4" xfId="14467"/>
    <cellStyle name="Currency 3 2 3 3 2 2 4 2" xfId="14468"/>
    <cellStyle name="Currency 3 2 3 3 2 2 4 3" xfId="14469"/>
    <cellStyle name="Currency 3 2 3 3 2 2 5" xfId="14470"/>
    <cellStyle name="Currency 3 2 3 3 2 2 5 2" xfId="14471"/>
    <cellStyle name="Currency 3 2 3 3 2 2 6" xfId="14472"/>
    <cellStyle name="Currency 3 2 3 3 2 2 6 2" xfId="36513"/>
    <cellStyle name="Currency 3 2 3 3 2 2 7" xfId="14473"/>
    <cellStyle name="Currency 3 2 3 3 2 3" xfId="14474"/>
    <cellStyle name="Currency 3 2 3 3 2 3 2" xfId="14475"/>
    <cellStyle name="Currency 3 2 3 3 2 3 2 2" xfId="14476"/>
    <cellStyle name="Currency 3 2 3 3 2 3 2 2 2" xfId="14477"/>
    <cellStyle name="Currency 3 2 3 3 2 3 2 3" xfId="14478"/>
    <cellStyle name="Currency 3 2 3 3 2 3 3" xfId="14479"/>
    <cellStyle name="Currency 3 2 3 3 2 3 3 2" xfId="14480"/>
    <cellStyle name="Currency 3 2 3 3 2 3 4" xfId="14481"/>
    <cellStyle name="Currency 3 2 3 3 2 4" xfId="14482"/>
    <cellStyle name="Currency 3 2 3 3 2 4 2" xfId="14483"/>
    <cellStyle name="Currency 3 2 3 3 2 4 2 2" xfId="14484"/>
    <cellStyle name="Currency 3 2 3 3 2 4 3" xfId="14485"/>
    <cellStyle name="Currency 3 2 3 3 2 5" xfId="14486"/>
    <cellStyle name="Currency 3 2 3 3 2 5 2" xfId="14487"/>
    <cellStyle name="Currency 3 2 3 3 2 5 2 2" xfId="14488"/>
    <cellStyle name="Currency 3 2 3 3 2 5 3" xfId="14489"/>
    <cellStyle name="Currency 3 2 3 3 2 6" xfId="14490"/>
    <cellStyle name="Currency 3 2 3 3 2 6 2" xfId="14491"/>
    <cellStyle name="Currency 3 2 3 3 2 7" xfId="14492"/>
    <cellStyle name="Currency 3 2 3 3 2 7 2" xfId="36514"/>
    <cellStyle name="Currency 3 2 3 3 2 8" xfId="14493"/>
    <cellStyle name="Currency 3 2 3 3 3" xfId="14494"/>
    <cellStyle name="Currency 3 2 3 3 3 2" xfId="14495"/>
    <cellStyle name="Currency 3 2 3 3 3 2 2" xfId="14496"/>
    <cellStyle name="Currency 3 2 3 3 3 2 2 2" xfId="14497"/>
    <cellStyle name="Currency 3 2 3 3 3 2 2 3" xfId="14498"/>
    <cellStyle name="Currency 3 2 3 3 3 2 3" xfId="14499"/>
    <cellStyle name="Currency 3 2 3 3 3 2 3 2" xfId="14500"/>
    <cellStyle name="Currency 3 2 3 3 3 2 4" xfId="14501"/>
    <cellStyle name="Currency 3 2 3 3 3 3" xfId="14502"/>
    <cellStyle name="Currency 3 2 3 3 3 3 2" xfId="14503"/>
    <cellStyle name="Currency 3 2 3 3 3 3 2 2" xfId="14504"/>
    <cellStyle name="Currency 3 2 3 3 3 3 3" xfId="14505"/>
    <cellStyle name="Currency 3 2 3 3 3 4" xfId="14506"/>
    <cellStyle name="Currency 3 2 3 3 3 4 2" xfId="14507"/>
    <cellStyle name="Currency 3 2 3 3 3 4 3" xfId="14508"/>
    <cellStyle name="Currency 3 2 3 3 3 5" xfId="14509"/>
    <cellStyle name="Currency 3 2 3 3 3 5 2" xfId="14510"/>
    <cellStyle name="Currency 3 2 3 3 3 6" xfId="14511"/>
    <cellStyle name="Currency 3 2 3 3 3 6 2" xfId="36515"/>
    <cellStyle name="Currency 3 2 3 3 3 7" xfId="14512"/>
    <cellStyle name="Currency 3 2 3 3 4" xfId="14513"/>
    <cellStyle name="Currency 3 2 3 3 4 2" xfId="14514"/>
    <cellStyle name="Currency 3 2 3 3 4 2 2" xfId="14515"/>
    <cellStyle name="Currency 3 2 3 3 4 2 2 2" xfId="14516"/>
    <cellStyle name="Currency 3 2 3 3 4 2 3" xfId="14517"/>
    <cellStyle name="Currency 3 2 3 3 4 3" xfId="14518"/>
    <cellStyle name="Currency 3 2 3 3 4 3 2" xfId="14519"/>
    <cellStyle name="Currency 3 2 3 3 4 4" xfId="14520"/>
    <cellStyle name="Currency 3 2 3 3 5" xfId="14521"/>
    <cellStyle name="Currency 3 2 3 3 5 2" xfId="14522"/>
    <cellStyle name="Currency 3 2 3 3 5 2 2" xfId="14523"/>
    <cellStyle name="Currency 3 2 3 3 5 3" xfId="14524"/>
    <cellStyle name="Currency 3 2 3 3 6" xfId="14525"/>
    <cellStyle name="Currency 3 2 3 3 6 2" xfId="14526"/>
    <cellStyle name="Currency 3 2 3 3 6 2 2" xfId="14527"/>
    <cellStyle name="Currency 3 2 3 3 6 3" xfId="14528"/>
    <cellStyle name="Currency 3 2 3 3 7" xfId="14529"/>
    <cellStyle name="Currency 3 2 3 3 7 2" xfId="14530"/>
    <cellStyle name="Currency 3 2 3 3 8" xfId="14531"/>
    <cellStyle name="Currency 3 2 3 3 8 2" xfId="36516"/>
    <cellStyle name="Currency 3 2 3 3 9" xfId="14532"/>
    <cellStyle name="Currency 3 2 3 4" xfId="14533"/>
    <cellStyle name="Currency 3 2 3 4 2" xfId="14534"/>
    <cellStyle name="Currency 3 2 3 4 2 2" xfId="14535"/>
    <cellStyle name="Currency 3 2 3 4 2 2 2" xfId="14536"/>
    <cellStyle name="Currency 3 2 3 4 2 2 2 2" xfId="14537"/>
    <cellStyle name="Currency 3 2 3 4 2 2 2 2 2" xfId="14538"/>
    <cellStyle name="Currency 3 2 3 4 2 2 2 2 3" xfId="14539"/>
    <cellStyle name="Currency 3 2 3 4 2 2 2 3" xfId="14540"/>
    <cellStyle name="Currency 3 2 3 4 2 2 2 3 2" xfId="14541"/>
    <cellStyle name="Currency 3 2 3 4 2 2 2 4" xfId="14542"/>
    <cellStyle name="Currency 3 2 3 4 2 2 3" xfId="14543"/>
    <cellStyle name="Currency 3 2 3 4 2 2 3 2" xfId="14544"/>
    <cellStyle name="Currency 3 2 3 4 2 2 3 2 2" xfId="14545"/>
    <cellStyle name="Currency 3 2 3 4 2 2 3 3" xfId="14546"/>
    <cellStyle name="Currency 3 2 3 4 2 2 4" xfId="14547"/>
    <cellStyle name="Currency 3 2 3 4 2 2 4 2" xfId="14548"/>
    <cellStyle name="Currency 3 2 3 4 2 2 4 3" xfId="14549"/>
    <cellStyle name="Currency 3 2 3 4 2 2 5" xfId="14550"/>
    <cellStyle name="Currency 3 2 3 4 2 2 5 2" xfId="14551"/>
    <cellStyle name="Currency 3 2 3 4 2 2 6" xfId="14552"/>
    <cellStyle name="Currency 3 2 3 4 2 2 6 2" xfId="36517"/>
    <cellStyle name="Currency 3 2 3 4 2 2 7" xfId="14553"/>
    <cellStyle name="Currency 3 2 3 4 2 3" xfId="14554"/>
    <cellStyle name="Currency 3 2 3 4 2 3 2" xfId="14555"/>
    <cellStyle name="Currency 3 2 3 4 2 3 2 2" xfId="14556"/>
    <cellStyle name="Currency 3 2 3 4 2 3 2 2 2" xfId="14557"/>
    <cellStyle name="Currency 3 2 3 4 2 3 2 3" xfId="14558"/>
    <cellStyle name="Currency 3 2 3 4 2 3 3" xfId="14559"/>
    <cellStyle name="Currency 3 2 3 4 2 3 3 2" xfId="14560"/>
    <cellStyle name="Currency 3 2 3 4 2 3 4" xfId="14561"/>
    <cellStyle name="Currency 3 2 3 4 2 4" xfId="14562"/>
    <cellStyle name="Currency 3 2 3 4 2 4 2" xfId="14563"/>
    <cellStyle name="Currency 3 2 3 4 2 4 2 2" xfId="14564"/>
    <cellStyle name="Currency 3 2 3 4 2 4 3" xfId="14565"/>
    <cellStyle name="Currency 3 2 3 4 2 5" xfId="14566"/>
    <cellStyle name="Currency 3 2 3 4 2 5 2" xfId="14567"/>
    <cellStyle name="Currency 3 2 3 4 2 5 2 2" xfId="14568"/>
    <cellStyle name="Currency 3 2 3 4 2 5 3" xfId="14569"/>
    <cellStyle name="Currency 3 2 3 4 2 6" xfId="14570"/>
    <cellStyle name="Currency 3 2 3 4 2 6 2" xfId="14571"/>
    <cellStyle name="Currency 3 2 3 4 2 7" xfId="14572"/>
    <cellStyle name="Currency 3 2 3 4 2 7 2" xfId="36518"/>
    <cellStyle name="Currency 3 2 3 4 2 8" xfId="14573"/>
    <cellStyle name="Currency 3 2 3 4 3" xfId="14574"/>
    <cellStyle name="Currency 3 2 3 4 3 2" xfId="14575"/>
    <cellStyle name="Currency 3 2 3 4 3 2 2" xfId="14576"/>
    <cellStyle name="Currency 3 2 3 4 3 2 2 2" xfId="14577"/>
    <cellStyle name="Currency 3 2 3 4 3 2 2 3" xfId="14578"/>
    <cellStyle name="Currency 3 2 3 4 3 2 3" xfId="14579"/>
    <cellStyle name="Currency 3 2 3 4 3 2 3 2" xfId="14580"/>
    <cellStyle name="Currency 3 2 3 4 3 2 4" xfId="14581"/>
    <cellStyle name="Currency 3 2 3 4 3 3" xfId="14582"/>
    <cellStyle name="Currency 3 2 3 4 3 3 2" xfId="14583"/>
    <cellStyle name="Currency 3 2 3 4 3 3 2 2" xfId="14584"/>
    <cellStyle name="Currency 3 2 3 4 3 3 3" xfId="14585"/>
    <cellStyle name="Currency 3 2 3 4 3 4" xfId="14586"/>
    <cellStyle name="Currency 3 2 3 4 3 4 2" xfId="14587"/>
    <cellStyle name="Currency 3 2 3 4 3 4 3" xfId="14588"/>
    <cellStyle name="Currency 3 2 3 4 3 5" xfId="14589"/>
    <cellStyle name="Currency 3 2 3 4 3 5 2" xfId="14590"/>
    <cellStyle name="Currency 3 2 3 4 3 6" xfId="14591"/>
    <cellStyle name="Currency 3 2 3 4 3 6 2" xfId="36519"/>
    <cellStyle name="Currency 3 2 3 4 3 7" xfId="14592"/>
    <cellStyle name="Currency 3 2 3 4 4" xfId="14593"/>
    <cellStyle name="Currency 3 2 3 4 4 2" xfId="14594"/>
    <cellStyle name="Currency 3 2 3 4 4 2 2" xfId="14595"/>
    <cellStyle name="Currency 3 2 3 4 4 2 2 2" xfId="14596"/>
    <cellStyle name="Currency 3 2 3 4 4 2 3" xfId="14597"/>
    <cellStyle name="Currency 3 2 3 4 4 3" xfId="14598"/>
    <cellStyle name="Currency 3 2 3 4 4 3 2" xfId="14599"/>
    <cellStyle name="Currency 3 2 3 4 4 4" xfId="14600"/>
    <cellStyle name="Currency 3 2 3 4 5" xfId="14601"/>
    <cellStyle name="Currency 3 2 3 4 5 2" xfId="14602"/>
    <cellStyle name="Currency 3 2 3 4 5 2 2" xfId="14603"/>
    <cellStyle name="Currency 3 2 3 4 5 3" xfId="14604"/>
    <cellStyle name="Currency 3 2 3 4 6" xfId="14605"/>
    <cellStyle name="Currency 3 2 3 4 6 2" xfId="14606"/>
    <cellStyle name="Currency 3 2 3 4 6 2 2" xfId="14607"/>
    <cellStyle name="Currency 3 2 3 4 6 3" xfId="14608"/>
    <cellStyle name="Currency 3 2 3 4 7" xfId="14609"/>
    <cellStyle name="Currency 3 2 3 4 7 2" xfId="14610"/>
    <cellStyle name="Currency 3 2 3 4 8" xfId="14611"/>
    <cellStyle name="Currency 3 2 3 4 8 2" xfId="36520"/>
    <cellStyle name="Currency 3 2 3 4 9" xfId="14612"/>
    <cellStyle name="Currency 3 2 3 5" xfId="14613"/>
    <cellStyle name="Currency 3 2 3 5 2" xfId="14614"/>
    <cellStyle name="Currency 3 2 3 5 2 2" xfId="14615"/>
    <cellStyle name="Currency 3 2 3 5 2 2 2" xfId="14616"/>
    <cellStyle name="Currency 3 2 3 5 2 2 2 2" xfId="14617"/>
    <cellStyle name="Currency 3 2 3 5 2 2 2 3" xfId="14618"/>
    <cellStyle name="Currency 3 2 3 5 2 2 3" xfId="14619"/>
    <cellStyle name="Currency 3 2 3 5 2 2 3 2" xfId="14620"/>
    <cellStyle name="Currency 3 2 3 5 2 2 4" xfId="14621"/>
    <cellStyle name="Currency 3 2 3 5 2 3" xfId="14622"/>
    <cellStyle name="Currency 3 2 3 5 2 3 2" xfId="14623"/>
    <cellStyle name="Currency 3 2 3 5 2 3 2 2" xfId="14624"/>
    <cellStyle name="Currency 3 2 3 5 2 3 3" xfId="14625"/>
    <cellStyle name="Currency 3 2 3 5 2 4" xfId="14626"/>
    <cellStyle name="Currency 3 2 3 5 2 4 2" xfId="14627"/>
    <cellStyle name="Currency 3 2 3 5 2 4 3" xfId="14628"/>
    <cellStyle name="Currency 3 2 3 5 2 5" xfId="14629"/>
    <cellStyle name="Currency 3 2 3 5 2 5 2" xfId="14630"/>
    <cellStyle name="Currency 3 2 3 5 2 6" xfId="14631"/>
    <cellStyle name="Currency 3 2 3 5 2 6 2" xfId="36521"/>
    <cellStyle name="Currency 3 2 3 5 2 7" xfId="14632"/>
    <cellStyle name="Currency 3 2 3 5 3" xfId="14633"/>
    <cellStyle name="Currency 3 2 3 5 3 2" xfId="14634"/>
    <cellStyle name="Currency 3 2 3 5 3 2 2" xfId="14635"/>
    <cellStyle name="Currency 3 2 3 5 3 2 2 2" xfId="14636"/>
    <cellStyle name="Currency 3 2 3 5 3 2 3" xfId="14637"/>
    <cellStyle name="Currency 3 2 3 5 3 3" xfId="14638"/>
    <cellStyle name="Currency 3 2 3 5 3 3 2" xfId="14639"/>
    <cellStyle name="Currency 3 2 3 5 3 4" xfId="14640"/>
    <cellStyle name="Currency 3 2 3 5 4" xfId="14641"/>
    <cellStyle name="Currency 3 2 3 5 4 2" xfId="14642"/>
    <cellStyle name="Currency 3 2 3 5 4 2 2" xfId="14643"/>
    <cellStyle name="Currency 3 2 3 5 4 3" xfId="14644"/>
    <cellStyle name="Currency 3 2 3 5 5" xfId="14645"/>
    <cellStyle name="Currency 3 2 3 5 5 2" xfId="14646"/>
    <cellStyle name="Currency 3 2 3 5 5 2 2" xfId="14647"/>
    <cellStyle name="Currency 3 2 3 5 5 3" xfId="14648"/>
    <cellStyle name="Currency 3 2 3 5 6" xfId="14649"/>
    <cellStyle name="Currency 3 2 3 5 6 2" xfId="14650"/>
    <cellStyle name="Currency 3 2 3 5 7" xfId="14651"/>
    <cellStyle name="Currency 3 2 3 5 7 2" xfId="36522"/>
    <cellStyle name="Currency 3 2 3 5 8" xfId="14652"/>
    <cellStyle name="Currency 3 2 3 6" xfId="14653"/>
    <cellStyle name="Currency 3 2 3 6 2" xfId="14654"/>
    <cellStyle name="Currency 3 2 3 6 2 2" xfId="14655"/>
    <cellStyle name="Currency 3 2 3 6 2 2 2" xfId="14656"/>
    <cellStyle name="Currency 3 2 3 6 2 2 2 2" xfId="14657"/>
    <cellStyle name="Currency 3 2 3 6 2 2 2 3" xfId="14658"/>
    <cellStyle name="Currency 3 2 3 6 2 2 3" xfId="14659"/>
    <cellStyle name="Currency 3 2 3 6 2 2 3 2" xfId="14660"/>
    <cellStyle name="Currency 3 2 3 6 2 2 4" xfId="14661"/>
    <cellStyle name="Currency 3 2 3 6 2 3" xfId="14662"/>
    <cellStyle name="Currency 3 2 3 6 2 3 2" xfId="14663"/>
    <cellStyle name="Currency 3 2 3 6 2 3 2 2" xfId="14664"/>
    <cellStyle name="Currency 3 2 3 6 2 3 3" xfId="14665"/>
    <cellStyle name="Currency 3 2 3 6 2 4" xfId="14666"/>
    <cellStyle name="Currency 3 2 3 6 2 4 2" xfId="14667"/>
    <cellStyle name="Currency 3 2 3 6 2 4 3" xfId="14668"/>
    <cellStyle name="Currency 3 2 3 6 2 5" xfId="14669"/>
    <cellStyle name="Currency 3 2 3 6 2 5 2" xfId="14670"/>
    <cellStyle name="Currency 3 2 3 6 2 6" xfId="14671"/>
    <cellStyle name="Currency 3 2 3 6 2 6 2" xfId="36523"/>
    <cellStyle name="Currency 3 2 3 6 2 7" xfId="14672"/>
    <cellStyle name="Currency 3 2 3 6 3" xfId="14673"/>
    <cellStyle name="Currency 3 2 3 6 3 2" xfId="14674"/>
    <cellStyle name="Currency 3 2 3 6 3 2 2" xfId="14675"/>
    <cellStyle name="Currency 3 2 3 6 3 2 2 2" xfId="14676"/>
    <cellStyle name="Currency 3 2 3 6 3 2 3" xfId="14677"/>
    <cellStyle name="Currency 3 2 3 6 3 3" xfId="14678"/>
    <cellStyle name="Currency 3 2 3 6 3 3 2" xfId="14679"/>
    <cellStyle name="Currency 3 2 3 6 3 4" xfId="14680"/>
    <cellStyle name="Currency 3 2 3 6 4" xfId="14681"/>
    <cellStyle name="Currency 3 2 3 6 4 2" xfId="14682"/>
    <cellStyle name="Currency 3 2 3 6 4 2 2" xfId="14683"/>
    <cellStyle name="Currency 3 2 3 6 4 3" xfId="14684"/>
    <cellStyle name="Currency 3 2 3 6 5" xfId="14685"/>
    <cellStyle name="Currency 3 2 3 6 5 2" xfId="14686"/>
    <cellStyle name="Currency 3 2 3 6 5 2 2" xfId="14687"/>
    <cellStyle name="Currency 3 2 3 6 5 3" xfId="14688"/>
    <cellStyle name="Currency 3 2 3 6 6" xfId="14689"/>
    <cellStyle name="Currency 3 2 3 6 6 2" xfId="14690"/>
    <cellStyle name="Currency 3 2 3 6 7" xfId="14691"/>
    <cellStyle name="Currency 3 2 3 6 7 2" xfId="36524"/>
    <cellStyle name="Currency 3 2 3 6 8" xfId="14692"/>
    <cellStyle name="Currency 3 2 3 7" xfId="14693"/>
    <cellStyle name="Currency 3 2 3 7 2" xfId="14694"/>
    <cellStyle name="Currency 3 2 3 7 2 2" xfId="14695"/>
    <cellStyle name="Currency 3 2 3 7 2 2 2" xfId="14696"/>
    <cellStyle name="Currency 3 2 3 7 2 2 2 2" xfId="14697"/>
    <cellStyle name="Currency 3 2 3 7 2 2 2 3" xfId="14698"/>
    <cellStyle name="Currency 3 2 3 7 2 2 3" xfId="14699"/>
    <cellStyle name="Currency 3 2 3 7 2 2 3 2" xfId="14700"/>
    <cellStyle name="Currency 3 2 3 7 2 2 4" xfId="14701"/>
    <cellStyle name="Currency 3 2 3 7 2 3" xfId="14702"/>
    <cellStyle name="Currency 3 2 3 7 2 3 2" xfId="14703"/>
    <cellStyle name="Currency 3 2 3 7 2 3 2 2" xfId="14704"/>
    <cellStyle name="Currency 3 2 3 7 2 3 3" xfId="14705"/>
    <cellStyle name="Currency 3 2 3 7 2 4" xfId="14706"/>
    <cellStyle name="Currency 3 2 3 7 2 4 2" xfId="14707"/>
    <cellStyle name="Currency 3 2 3 7 2 4 3" xfId="14708"/>
    <cellStyle name="Currency 3 2 3 7 2 5" xfId="14709"/>
    <cellStyle name="Currency 3 2 3 7 2 5 2" xfId="14710"/>
    <cellStyle name="Currency 3 2 3 7 2 6" xfId="14711"/>
    <cellStyle name="Currency 3 2 3 7 2 6 2" xfId="36525"/>
    <cellStyle name="Currency 3 2 3 7 2 7" xfId="14712"/>
    <cellStyle name="Currency 3 2 3 7 3" xfId="14713"/>
    <cellStyle name="Currency 3 2 3 7 3 2" xfId="14714"/>
    <cellStyle name="Currency 3 2 3 7 3 2 2" xfId="14715"/>
    <cellStyle name="Currency 3 2 3 7 3 2 2 2" xfId="14716"/>
    <cellStyle name="Currency 3 2 3 7 3 2 3" xfId="14717"/>
    <cellStyle name="Currency 3 2 3 7 3 3" xfId="14718"/>
    <cellStyle name="Currency 3 2 3 7 3 3 2" xfId="14719"/>
    <cellStyle name="Currency 3 2 3 7 3 4" xfId="14720"/>
    <cellStyle name="Currency 3 2 3 7 4" xfId="14721"/>
    <cellStyle name="Currency 3 2 3 7 4 2" xfId="14722"/>
    <cellStyle name="Currency 3 2 3 7 4 2 2" xfId="14723"/>
    <cellStyle name="Currency 3 2 3 7 4 3" xfId="14724"/>
    <cellStyle name="Currency 3 2 3 7 5" xfId="14725"/>
    <cellStyle name="Currency 3 2 3 7 5 2" xfId="14726"/>
    <cellStyle name="Currency 3 2 3 7 5 2 2" xfId="14727"/>
    <cellStyle name="Currency 3 2 3 7 5 3" xfId="14728"/>
    <cellStyle name="Currency 3 2 3 7 6" xfId="14729"/>
    <cellStyle name="Currency 3 2 3 7 6 2" xfId="14730"/>
    <cellStyle name="Currency 3 2 3 7 7" xfId="14731"/>
    <cellStyle name="Currency 3 2 3 7 7 2" xfId="36526"/>
    <cellStyle name="Currency 3 2 3 7 8" xfId="14732"/>
    <cellStyle name="Currency 3 2 3 8" xfId="14733"/>
    <cellStyle name="Currency 3 2 3 8 2" xfId="14734"/>
    <cellStyle name="Currency 3 2 3 8 2 2" xfId="14735"/>
    <cellStyle name="Currency 3 2 3 8 2 2 2" xfId="14736"/>
    <cellStyle name="Currency 3 2 3 8 2 2 3" xfId="14737"/>
    <cellStyle name="Currency 3 2 3 8 2 3" xfId="14738"/>
    <cellStyle name="Currency 3 2 3 8 2 3 2" xfId="14739"/>
    <cellStyle name="Currency 3 2 3 8 2 4" xfId="14740"/>
    <cellStyle name="Currency 3 2 3 8 3" xfId="14741"/>
    <cellStyle name="Currency 3 2 3 8 3 2" xfId="14742"/>
    <cellStyle name="Currency 3 2 3 8 3 2 2" xfId="14743"/>
    <cellStyle name="Currency 3 2 3 8 3 3" xfId="14744"/>
    <cellStyle name="Currency 3 2 3 8 4" xfId="14745"/>
    <cellStyle name="Currency 3 2 3 8 4 2" xfId="14746"/>
    <cellStyle name="Currency 3 2 3 8 4 3" xfId="14747"/>
    <cellStyle name="Currency 3 2 3 8 5" xfId="14748"/>
    <cellStyle name="Currency 3 2 3 8 5 2" xfId="14749"/>
    <cellStyle name="Currency 3 2 3 8 6" xfId="14750"/>
    <cellStyle name="Currency 3 2 3 8 6 2" xfId="36527"/>
    <cellStyle name="Currency 3 2 3 8 7" xfId="14751"/>
    <cellStyle name="Currency 3 2 3 9" xfId="14752"/>
    <cellStyle name="Currency 3 2 3 9 2" xfId="14753"/>
    <cellStyle name="Currency 3 2 3 9 2 2" xfId="14754"/>
    <cellStyle name="Currency 3 2 3 9 2 2 2" xfId="14755"/>
    <cellStyle name="Currency 3 2 3 9 2 3" xfId="14756"/>
    <cellStyle name="Currency 3 2 3 9 3" xfId="14757"/>
    <cellStyle name="Currency 3 2 3 9 3 2" xfId="14758"/>
    <cellStyle name="Currency 3 2 3 9 4" xfId="14759"/>
    <cellStyle name="Currency 3 2 4" xfId="14760"/>
    <cellStyle name="Currency 3 2 4 10" xfId="14761"/>
    <cellStyle name="Currency 3 2 4 10 2" xfId="14762"/>
    <cellStyle name="Currency 3 2 4 11" xfId="14763"/>
    <cellStyle name="Currency 3 2 4 11 2" xfId="36528"/>
    <cellStyle name="Currency 3 2 4 12" xfId="14764"/>
    <cellStyle name="Currency 3 2 4 2" xfId="14765"/>
    <cellStyle name="Currency 3 2 4 2 10" xfId="14766"/>
    <cellStyle name="Currency 3 2 4 2 2" xfId="14767"/>
    <cellStyle name="Currency 3 2 4 2 2 2" xfId="14768"/>
    <cellStyle name="Currency 3 2 4 2 2 2 2" xfId="14769"/>
    <cellStyle name="Currency 3 2 4 2 2 2 2 2" xfId="14770"/>
    <cellStyle name="Currency 3 2 4 2 2 2 2 2 2" xfId="14771"/>
    <cellStyle name="Currency 3 2 4 2 2 2 2 2 2 2" xfId="14772"/>
    <cellStyle name="Currency 3 2 4 2 2 2 2 2 2 3" xfId="14773"/>
    <cellStyle name="Currency 3 2 4 2 2 2 2 2 3" xfId="14774"/>
    <cellStyle name="Currency 3 2 4 2 2 2 2 2 3 2" xfId="14775"/>
    <cellStyle name="Currency 3 2 4 2 2 2 2 2 4" xfId="14776"/>
    <cellStyle name="Currency 3 2 4 2 2 2 2 3" xfId="14777"/>
    <cellStyle name="Currency 3 2 4 2 2 2 2 3 2" xfId="14778"/>
    <cellStyle name="Currency 3 2 4 2 2 2 2 3 2 2" xfId="14779"/>
    <cellStyle name="Currency 3 2 4 2 2 2 2 3 3" xfId="14780"/>
    <cellStyle name="Currency 3 2 4 2 2 2 2 4" xfId="14781"/>
    <cellStyle name="Currency 3 2 4 2 2 2 2 4 2" xfId="14782"/>
    <cellStyle name="Currency 3 2 4 2 2 2 2 4 3" xfId="14783"/>
    <cellStyle name="Currency 3 2 4 2 2 2 2 5" xfId="14784"/>
    <cellStyle name="Currency 3 2 4 2 2 2 2 5 2" xfId="14785"/>
    <cellStyle name="Currency 3 2 4 2 2 2 2 6" xfId="14786"/>
    <cellStyle name="Currency 3 2 4 2 2 2 2 6 2" xfId="36529"/>
    <cellStyle name="Currency 3 2 4 2 2 2 2 7" xfId="14787"/>
    <cellStyle name="Currency 3 2 4 2 2 2 3" xfId="14788"/>
    <cellStyle name="Currency 3 2 4 2 2 2 3 2" xfId="14789"/>
    <cellStyle name="Currency 3 2 4 2 2 2 3 2 2" xfId="14790"/>
    <cellStyle name="Currency 3 2 4 2 2 2 3 2 2 2" xfId="14791"/>
    <cellStyle name="Currency 3 2 4 2 2 2 3 2 3" xfId="14792"/>
    <cellStyle name="Currency 3 2 4 2 2 2 3 3" xfId="14793"/>
    <cellStyle name="Currency 3 2 4 2 2 2 3 3 2" xfId="14794"/>
    <cellStyle name="Currency 3 2 4 2 2 2 3 4" xfId="14795"/>
    <cellStyle name="Currency 3 2 4 2 2 2 4" xfId="14796"/>
    <cellStyle name="Currency 3 2 4 2 2 2 4 2" xfId="14797"/>
    <cellStyle name="Currency 3 2 4 2 2 2 4 2 2" xfId="14798"/>
    <cellStyle name="Currency 3 2 4 2 2 2 4 3" xfId="14799"/>
    <cellStyle name="Currency 3 2 4 2 2 2 5" xfId="14800"/>
    <cellStyle name="Currency 3 2 4 2 2 2 5 2" xfId="14801"/>
    <cellStyle name="Currency 3 2 4 2 2 2 5 2 2" xfId="14802"/>
    <cellStyle name="Currency 3 2 4 2 2 2 5 3" xfId="14803"/>
    <cellStyle name="Currency 3 2 4 2 2 2 6" xfId="14804"/>
    <cellStyle name="Currency 3 2 4 2 2 2 6 2" xfId="14805"/>
    <cellStyle name="Currency 3 2 4 2 2 2 7" xfId="14806"/>
    <cellStyle name="Currency 3 2 4 2 2 2 7 2" xfId="36530"/>
    <cellStyle name="Currency 3 2 4 2 2 2 8" xfId="14807"/>
    <cellStyle name="Currency 3 2 4 2 2 3" xfId="14808"/>
    <cellStyle name="Currency 3 2 4 2 2 3 2" xfId="14809"/>
    <cellStyle name="Currency 3 2 4 2 2 3 2 2" xfId="14810"/>
    <cellStyle name="Currency 3 2 4 2 2 3 2 2 2" xfId="14811"/>
    <cellStyle name="Currency 3 2 4 2 2 3 2 2 3" xfId="14812"/>
    <cellStyle name="Currency 3 2 4 2 2 3 2 3" xfId="14813"/>
    <cellStyle name="Currency 3 2 4 2 2 3 2 3 2" xfId="14814"/>
    <cellStyle name="Currency 3 2 4 2 2 3 2 4" xfId="14815"/>
    <cellStyle name="Currency 3 2 4 2 2 3 3" xfId="14816"/>
    <cellStyle name="Currency 3 2 4 2 2 3 3 2" xfId="14817"/>
    <cellStyle name="Currency 3 2 4 2 2 3 3 2 2" xfId="14818"/>
    <cellStyle name="Currency 3 2 4 2 2 3 3 3" xfId="14819"/>
    <cellStyle name="Currency 3 2 4 2 2 3 4" xfId="14820"/>
    <cellStyle name="Currency 3 2 4 2 2 3 4 2" xfId="14821"/>
    <cellStyle name="Currency 3 2 4 2 2 3 4 3" xfId="14822"/>
    <cellStyle name="Currency 3 2 4 2 2 3 5" xfId="14823"/>
    <cellStyle name="Currency 3 2 4 2 2 3 5 2" xfId="14824"/>
    <cellStyle name="Currency 3 2 4 2 2 3 6" xfId="14825"/>
    <cellStyle name="Currency 3 2 4 2 2 3 6 2" xfId="36531"/>
    <cellStyle name="Currency 3 2 4 2 2 3 7" xfId="14826"/>
    <cellStyle name="Currency 3 2 4 2 2 4" xfId="14827"/>
    <cellStyle name="Currency 3 2 4 2 2 4 2" xfId="14828"/>
    <cellStyle name="Currency 3 2 4 2 2 4 2 2" xfId="14829"/>
    <cellStyle name="Currency 3 2 4 2 2 4 2 2 2" xfId="14830"/>
    <cellStyle name="Currency 3 2 4 2 2 4 2 3" xfId="14831"/>
    <cellStyle name="Currency 3 2 4 2 2 4 3" xfId="14832"/>
    <cellStyle name="Currency 3 2 4 2 2 4 3 2" xfId="14833"/>
    <cellStyle name="Currency 3 2 4 2 2 4 4" xfId="14834"/>
    <cellStyle name="Currency 3 2 4 2 2 5" xfId="14835"/>
    <cellStyle name="Currency 3 2 4 2 2 5 2" xfId="14836"/>
    <cellStyle name="Currency 3 2 4 2 2 5 2 2" xfId="14837"/>
    <cellStyle name="Currency 3 2 4 2 2 5 3" xfId="14838"/>
    <cellStyle name="Currency 3 2 4 2 2 6" xfId="14839"/>
    <cellStyle name="Currency 3 2 4 2 2 6 2" xfId="14840"/>
    <cellStyle name="Currency 3 2 4 2 2 6 2 2" xfId="14841"/>
    <cellStyle name="Currency 3 2 4 2 2 6 3" xfId="14842"/>
    <cellStyle name="Currency 3 2 4 2 2 7" xfId="14843"/>
    <cellStyle name="Currency 3 2 4 2 2 7 2" xfId="14844"/>
    <cellStyle name="Currency 3 2 4 2 2 8" xfId="14845"/>
    <cellStyle name="Currency 3 2 4 2 2 8 2" xfId="36532"/>
    <cellStyle name="Currency 3 2 4 2 2 9" xfId="14846"/>
    <cellStyle name="Currency 3 2 4 2 3" xfId="14847"/>
    <cellStyle name="Currency 3 2 4 2 3 2" xfId="14848"/>
    <cellStyle name="Currency 3 2 4 2 3 2 2" xfId="14849"/>
    <cellStyle name="Currency 3 2 4 2 3 2 2 2" xfId="14850"/>
    <cellStyle name="Currency 3 2 4 2 3 2 2 2 2" xfId="14851"/>
    <cellStyle name="Currency 3 2 4 2 3 2 2 2 3" xfId="14852"/>
    <cellStyle name="Currency 3 2 4 2 3 2 2 3" xfId="14853"/>
    <cellStyle name="Currency 3 2 4 2 3 2 2 3 2" xfId="14854"/>
    <cellStyle name="Currency 3 2 4 2 3 2 2 4" xfId="14855"/>
    <cellStyle name="Currency 3 2 4 2 3 2 3" xfId="14856"/>
    <cellStyle name="Currency 3 2 4 2 3 2 3 2" xfId="14857"/>
    <cellStyle name="Currency 3 2 4 2 3 2 3 2 2" xfId="14858"/>
    <cellStyle name="Currency 3 2 4 2 3 2 3 3" xfId="14859"/>
    <cellStyle name="Currency 3 2 4 2 3 2 4" xfId="14860"/>
    <cellStyle name="Currency 3 2 4 2 3 2 4 2" xfId="14861"/>
    <cellStyle name="Currency 3 2 4 2 3 2 4 3" xfId="14862"/>
    <cellStyle name="Currency 3 2 4 2 3 2 5" xfId="14863"/>
    <cellStyle name="Currency 3 2 4 2 3 2 5 2" xfId="14864"/>
    <cellStyle name="Currency 3 2 4 2 3 2 6" xfId="14865"/>
    <cellStyle name="Currency 3 2 4 2 3 2 6 2" xfId="36533"/>
    <cellStyle name="Currency 3 2 4 2 3 2 7" xfId="14866"/>
    <cellStyle name="Currency 3 2 4 2 3 3" xfId="14867"/>
    <cellStyle name="Currency 3 2 4 2 3 3 2" xfId="14868"/>
    <cellStyle name="Currency 3 2 4 2 3 3 2 2" xfId="14869"/>
    <cellStyle name="Currency 3 2 4 2 3 3 2 2 2" xfId="14870"/>
    <cellStyle name="Currency 3 2 4 2 3 3 2 3" xfId="14871"/>
    <cellStyle name="Currency 3 2 4 2 3 3 3" xfId="14872"/>
    <cellStyle name="Currency 3 2 4 2 3 3 3 2" xfId="14873"/>
    <cellStyle name="Currency 3 2 4 2 3 3 4" xfId="14874"/>
    <cellStyle name="Currency 3 2 4 2 3 4" xfId="14875"/>
    <cellStyle name="Currency 3 2 4 2 3 4 2" xfId="14876"/>
    <cellStyle name="Currency 3 2 4 2 3 4 2 2" xfId="14877"/>
    <cellStyle name="Currency 3 2 4 2 3 4 3" xfId="14878"/>
    <cellStyle name="Currency 3 2 4 2 3 5" xfId="14879"/>
    <cellStyle name="Currency 3 2 4 2 3 5 2" xfId="14880"/>
    <cellStyle name="Currency 3 2 4 2 3 5 2 2" xfId="14881"/>
    <cellStyle name="Currency 3 2 4 2 3 5 3" xfId="14882"/>
    <cellStyle name="Currency 3 2 4 2 3 6" xfId="14883"/>
    <cellStyle name="Currency 3 2 4 2 3 6 2" xfId="14884"/>
    <cellStyle name="Currency 3 2 4 2 3 7" xfId="14885"/>
    <cellStyle name="Currency 3 2 4 2 3 7 2" xfId="36534"/>
    <cellStyle name="Currency 3 2 4 2 3 8" xfId="14886"/>
    <cellStyle name="Currency 3 2 4 2 4" xfId="14887"/>
    <cellStyle name="Currency 3 2 4 2 4 2" xfId="14888"/>
    <cellStyle name="Currency 3 2 4 2 4 2 2" xfId="14889"/>
    <cellStyle name="Currency 3 2 4 2 4 2 2 2" xfId="14890"/>
    <cellStyle name="Currency 3 2 4 2 4 2 2 3" xfId="14891"/>
    <cellStyle name="Currency 3 2 4 2 4 2 3" xfId="14892"/>
    <cellStyle name="Currency 3 2 4 2 4 2 3 2" xfId="14893"/>
    <cellStyle name="Currency 3 2 4 2 4 2 4" xfId="14894"/>
    <cellStyle name="Currency 3 2 4 2 4 3" xfId="14895"/>
    <cellStyle name="Currency 3 2 4 2 4 3 2" xfId="14896"/>
    <cellStyle name="Currency 3 2 4 2 4 3 2 2" xfId="14897"/>
    <cellStyle name="Currency 3 2 4 2 4 3 3" xfId="14898"/>
    <cellStyle name="Currency 3 2 4 2 4 4" xfId="14899"/>
    <cellStyle name="Currency 3 2 4 2 4 4 2" xfId="14900"/>
    <cellStyle name="Currency 3 2 4 2 4 4 3" xfId="14901"/>
    <cellStyle name="Currency 3 2 4 2 4 5" xfId="14902"/>
    <cellStyle name="Currency 3 2 4 2 4 5 2" xfId="14903"/>
    <cellStyle name="Currency 3 2 4 2 4 6" xfId="14904"/>
    <cellStyle name="Currency 3 2 4 2 4 6 2" xfId="36535"/>
    <cellStyle name="Currency 3 2 4 2 4 7" xfId="14905"/>
    <cellStyle name="Currency 3 2 4 2 5" xfId="14906"/>
    <cellStyle name="Currency 3 2 4 2 5 2" xfId="14907"/>
    <cellStyle name="Currency 3 2 4 2 5 2 2" xfId="14908"/>
    <cellStyle name="Currency 3 2 4 2 5 2 2 2" xfId="14909"/>
    <cellStyle name="Currency 3 2 4 2 5 2 3" xfId="14910"/>
    <cellStyle name="Currency 3 2 4 2 5 3" xfId="14911"/>
    <cellStyle name="Currency 3 2 4 2 5 3 2" xfId="14912"/>
    <cellStyle name="Currency 3 2 4 2 5 4" xfId="14913"/>
    <cellStyle name="Currency 3 2 4 2 6" xfId="14914"/>
    <cellStyle name="Currency 3 2 4 2 6 2" xfId="14915"/>
    <cellStyle name="Currency 3 2 4 2 6 2 2" xfId="14916"/>
    <cellStyle name="Currency 3 2 4 2 6 3" xfId="14917"/>
    <cellStyle name="Currency 3 2 4 2 7" xfId="14918"/>
    <cellStyle name="Currency 3 2 4 2 7 2" xfId="14919"/>
    <cellStyle name="Currency 3 2 4 2 7 2 2" xfId="14920"/>
    <cellStyle name="Currency 3 2 4 2 7 3" xfId="14921"/>
    <cellStyle name="Currency 3 2 4 2 8" xfId="14922"/>
    <cellStyle name="Currency 3 2 4 2 8 2" xfId="14923"/>
    <cellStyle name="Currency 3 2 4 2 9" xfId="14924"/>
    <cellStyle name="Currency 3 2 4 2 9 2" xfId="36536"/>
    <cellStyle name="Currency 3 2 4 3" xfId="14925"/>
    <cellStyle name="Currency 3 2 4 3 2" xfId="14926"/>
    <cellStyle name="Currency 3 2 4 3 2 2" xfId="14927"/>
    <cellStyle name="Currency 3 2 4 3 2 2 2" xfId="14928"/>
    <cellStyle name="Currency 3 2 4 3 2 2 2 2" xfId="14929"/>
    <cellStyle name="Currency 3 2 4 3 2 2 2 2 2" xfId="14930"/>
    <cellStyle name="Currency 3 2 4 3 2 2 2 2 3" xfId="14931"/>
    <cellStyle name="Currency 3 2 4 3 2 2 2 3" xfId="14932"/>
    <cellStyle name="Currency 3 2 4 3 2 2 2 3 2" xfId="14933"/>
    <cellStyle name="Currency 3 2 4 3 2 2 2 4" xfId="14934"/>
    <cellStyle name="Currency 3 2 4 3 2 2 3" xfId="14935"/>
    <cellStyle name="Currency 3 2 4 3 2 2 3 2" xfId="14936"/>
    <cellStyle name="Currency 3 2 4 3 2 2 3 2 2" xfId="14937"/>
    <cellStyle name="Currency 3 2 4 3 2 2 3 3" xfId="14938"/>
    <cellStyle name="Currency 3 2 4 3 2 2 4" xfId="14939"/>
    <cellStyle name="Currency 3 2 4 3 2 2 4 2" xfId="14940"/>
    <cellStyle name="Currency 3 2 4 3 2 2 4 3" xfId="14941"/>
    <cellStyle name="Currency 3 2 4 3 2 2 5" xfId="14942"/>
    <cellStyle name="Currency 3 2 4 3 2 2 5 2" xfId="14943"/>
    <cellStyle name="Currency 3 2 4 3 2 2 6" xfId="14944"/>
    <cellStyle name="Currency 3 2 4 3 2 2 6 2" xfId="36537"/>
    <cellStyle name="Currency 3 2 4 3 2 2 7" xfId="14945"/>
    <cellStyle name="Currency 3 2 4 3 2 3" xfId="14946"/>
    <cellStyle name="Currency 3 2 4 3 2 3 2" xfId="14947"/>
    <cellStyle name="Currency 3 2 4 3 2 3 2 2" xfId="14948"/>
    <cellStyle name="Currency 3 2 4 3 2 3 2 2 2" xfId="14949"/>
    <cellStyle name="Currency 3 2 4 3 2 3 2 3" xfId="14950"/>
    <cellStyle name="Currency 3 2 4 3 2 3 3" xfId="14951"/>
    <cellStyle name="Currency 3 2 4 3 2 3 3 2" xfId="14952"/>
    <cellStyle name="Currency 3 2 4 3 2 3 4" xfId="14953"/>
    <cellStyle name="Currency 3 2 4 3 2 4" xfId="14954"/>
    <cellStyle name="Currency 3 2 4 3 2 4 2" xfId="14955"/>
    <cellStyle name="Currency 3 2 4 3 2 4 2 2" xfId="14956"/>
    <cellStyle name="Currency 3 2 4 3 2 4 3" xfId="14957"/>
    <cellStyle name="Currency 3 2 4 3 2 5" xfId="14958"/>
    <cellStyle name="Currency 3 2 4 3 2 5 2" xfId="14959"/>
    <cellStyle name="Currency 3 2 4 3 2 5 2 2" xfId="14960"/>
    <cellStyle name="Currency 3 2 4 3 2 5 3" xfId="14961"/>
    <cellStyle name="Currency 3 2 4 3 2 6" xfId="14962"/>
    <cellStyle name="Currency 3 2 4 3 2 6 2" xfId="14963"/>
    <cellStyle name="Currency 3 2 4 3 2 7" xfId="14964"/>
    <cellStyle name="Currency 3 2 4 3 2 7 2" xfId="36538"/>
    <cellStyle name="Currency 3 2 4 3 2 8" xfId="14965"/>
    <cellStyle name="Currency 3 2 4 3 3" xfId="14966"/>
    <cellStyle name="Currency 3 2 4 3 3 2" xfId="14967"/>
    <cellStyle name="Currency 3 2 4 3 3 2 2" xfId="14968"/>
    <cellStyle name="Currency 3 2 4 3 3 2 2 2" xfId="14969"/>
    <cellStyle name="Currency 3 2 4 3 3 2 2 3" xfId="14970"/>
    <cellStyle name="Currency 3 2 4 3 3 2 3" xfId="14971"/>
    <cellStyle name="Currency 3 2 4 3 3 2 3 2" xfId="14972"/>
    <cellStyle name="Currency 3 2 4 3 3 2 4" xfId="14973"/>
    <cellStyle name="Currency 3 2 4 3 3 3" xfId="14974"/>
    <cellStyle name="Currency 3 2 4 3 3 3 2" xfId="14975"/>
    <cellStyle name="Currency 3 2 4 3 3 3 2 2" xfId="14976"/>
    <cellStyle name="Currency 3 2 4 3 3 3 3" xfId="14977"/>
    <cellStyle name="Currency 3 2 4 3 3 4" xfId="14978"/>
    <cellStyle name="Currency 3 2 4 3 3 4 2" xfId="14979"/>
    <cellStyle name="Currency 3 2 4 3 3 4 3" xfId="14980"/>
    <cellStyle name="Currency 3 2 4 3 3 5" xfId="14981"/>
    <cellStyle name="Currency 3 2 4 3 3 5 2" xfId="14982"/>
    <cellStyle name="Currency 3 2 4 3 3 6" xfId="14983"/>
    <cellStyle name="Currency 3 2 4 3 3 6 2" xfId="36539"/>
    <cellStyle name="Currency 3 2 4 3 3 7" xfId="14984"/>
    <cellStyle name="Currency 3 2 4 3 4" xfId="14985"/>
    <cellStyle name="Currency 3 2 4 3 4 2" xfId="14986"/>
    <cellStyle name="Currency 3 2 4 3 4 2 2" xfId="14987"/>
    <cellStyle name="Currency 3 2 4 3 4 2 2 2" xfId="14988"/>
    <cellStyle name="Currency 3 2 4 3 4 2 3" xfId="14989"/>
    <cellStyle name="Currency 3 2 4 3 4 3" xfId="14990"/>
    <cellStyle name="Currency 3 2 4 3 4 3 2" xfId="14991"/>
    <cellStyle name="Currency 3 2 4 3 4 4" xfId="14992"/>
    <cellStyle name="Currency 3 2 4 3 5" xfId="14993"/>
    <cellStyle name="Currency 3 2 4 3 5 2" xfId="14994"/>
    <cellStyle name="Currency 3 2 4 3 5 2 2" xfId="14995"/>
    <cellStyle name="Currency 3 2 4 3 5 3" xfId="14996"/>
    <cellStyle name="Currency 3 2 4 3 6" xfId="14997"/>
    <cellStyle name="Currency 3 2 4 3 6 2" xfId="14998"/>
    <cellStyle name="Currency 3 2 4 3 6 2 2" xfId="14999"/>
    <cellStyle name="Currency 3 2 4 3 6 3" xfId="15000"/>
    <cellStyle name="Currency 3 2 4 3 7" xfId="15001"/>
    <cellStyle name="Currency 3 2 4 3 7 2" xfId="15002"/>
    <cellStyle name="Currency 3 2 4 3 8" xfId="15003"/>
    <cellStyle name="Currency 3 2 4 3 8 2" xfId="36540"/>
    <cellStyle name="Currency 3 2 4 3 9" xfId="15004"/>
    <cellStyle name="Currency 3 2 4 4" xfId="15005"/>
    <cellStyle name="Currency 3 2 4 4 2" xfId="15006"/>
    <cellStyle name="Currency 3 2 4 4 2 2" xfId="15007"/>
    <cellStyle name="Currency 3 2 4 4 2 2 2" xfId="15008"/>
    <cellStyle name="Currency 3 2 4 4 2 2 2 2" xfId="15009"/>
    <cellStyle name="Currency 3 2 4 4 2 2 2 3" xfId="15010"/>
    <cellStyle name="Currency 3 2 4 4 2 2 3" xfId="15011"/>
    <cellStyle name="Currency 3 2 4 4 2 2 3 2" xfId="15012"/>
    <cellStyle name="Currency 3 2 4 4 2 2 4" xfId="15013"/>
    <cellStyle name="Currency 3 2 4 4 2 3" xfId="15014"/>
    <cellStyle name="Currency 3 2 4 4 2 3 2" xfId="15015"/>
    <cellStyle name="Currency 3 2 4 4 2 3 2 2" xfId="15016"/>
    <cellStyle name="Currency 3 2 4 4 2 3 3" xfId="15017"/>
    <cellStyle name="Currency 3 2 4 4 2 4" xfId="15018"/>
    <cellStyle name="Currency 3 2 4 4 2 4 2" xfId="15019"/>
    <cellStyle name="Currency 3 2 4 4 2 4 3" xfId="15020"/>
    <cellStyle name="Currency 3 2 4 4 2 5" xfId="15021"/>
    <cellStyle name="Currency 3 2 4 4 2 5 2" xfId="15022"/>
    <cellStyle name="Currency 3 2 4 4 2 6" xfId="15023"/>
    <cellStyle name="Currency 3 2 4 4 2 6 2" xfId="36541"/>
    <cellStyle name="Currency 3 2 4 4 2 7" xfId="15024"/>
    <cellStyle name="Currency 3 2 4 4 3" xfId="15025"/>
    <cellStyle name="Currency 3 2 4 4 3 2" xfId="15026"/>
    <cellStyle name="Currency 3 2 4 4 3 2 2" xfId="15027"/>
    <cellStyle name="Currency 3 2 4 4 3 2 2 2" xfId="15028"/>
    <cellStyle name="Currency 3 2 4 4 3 2 3" xfId="15029"/>
    <cellStyle name="Currency 3 2 4 4 3 3" xfId="15030"/>
    <cellStyle name="Currency 3 2 4 4 3 3 2" xfId="15031"/>
    <cellStyle name="Currency 3 2 4 4 3 4" xfId="15032"/>
    <cellStyle name="Currency 3 2 4 4 4" xfId="15033"/>
    <cellStyle name="Currency 3 2 4 4 4 2" xfId="15034"/>
    <cellStyle name="Currency 3 2 4 4 4 2 2" xfId="15035"/>
    <cellStyle name="Currency 3 2 4 4 4 3" xfId="15036"/>
    <cellStyle name="Currency 3 2 4 4 5" xfId="15037"/>
    <cellStyle name="Currency 3 2 4 4 5 2" xfId="15038"/>
    <cellStyle name="Currency 3 2 4 4 5 2 2" xfId="15039"/>
    <cellStyle name="Currency 3 2 4 4 5 3" xfId="15040"/>
    <cellStyle name="Currency 3 2 4 4 6" xfId="15041"/>
    <cellStyle name="Currency 3 2 4 4 6 2" xfId="15042"/>
    <cellStyle name="Currency 3 2 4 4 7" xfId="15043"/>
    <cellStyle name="Currency 3 2 4 4 7 2" xfId="36542"/>
    <cellStyle name="Currency 3 2 4 4 8" xfId="15044"/>
    <cellStyle name="Currency 3 2 4 5" xfId="15045"/>
    <cellStyle name="Currency 3 2 4 5 2" xfId="15046"/>
    <cellStyle name="Currency 3 2 4 5 2 2" xfId="15047"/>
    <cellStyle name="Currency 3 2 4 5 2 2 2" xfId="15048"/>
    <cellStyle name="Currency 3 2 4 5 2 2 2 2" xfId="15049"/>
    <cellStyle name="Currency 3 2 4 5 2 2 2 3" xfId="15050"/>
    <cellStyle name="Currency 3 2 4 5 2 2 3" xfId="15051"/>
    <cellStyle name="Currency 3 2 4 5 2 2 3 2" xfId="15052"/>
    <cellStyle name="Currency 3 2 4 5 2 2 4" xfId="15053"/>
    <cellStyle name="Currency 3 2 4 5 2 3" xfId="15054"/>
    <cellStyle name="Currency 3 2 4 5 2 3 2" xfId="15055"/>
    <cellStyle name="Currency 3 2 4 5 2 3 2 2" xfId="15056"/>
    <cellStyle name="Currency 3 2 4 5 2 3 3" xfId="15057"/>
    <cellStyle name="Currency 3 2 4 5 2 4" xfId="15058"/>
    <cellStyle name="Currency 3 2 4 5 2 4 2" xfId="15059"/>
    <cellStyle name="Currency 3 2 4 5 2 4 3" xfId="15060"/>
    <cellStyle name="Currency 3 2 4 5 2 5" xfId="15061"/>
    <cellStyle name="Currency 3 2 4 5 2 5 2" xfId="15062"/>
    <cellStyle name="Currency 3 2 4 5 2 6" xfId="15063"/>
    <cellStyle name="Currency 3 2 4 5 2 6 2" xfId="36543"/>
    <cellStyle name="Currency 3 2 4 5 2 7" xfId="15064"/>
    <cellStyle name="Currency 3 2 4 5 3" xfId="15065"/>
    <cellStyle name="Currency 3 2 4 5 3 2" xfId="15066"/>
    <cellStyle name="Currency 3 2 4 5 3 2 2" xfId="15067"/>
    <cellStyle name="Currency 3 2 4 5 3 2 2 2" xfId="15068"/>
    <cellStyle name="Currency 3 2 4 5 3 2 3" xfId="15069"/>
    <cellStyle name="Currency 3 2 4 5 3 3" xfId="15070"/>
    <cellStyle name="Currency 3 2 4 5 3 3 2" xfId="15071"/>
    <cellStyle name="Currency 3 2 4 5 3 4" xfId="15072"/>
    <cellStyle name="Currency 3 2 4 5 4" xfId="15073"/>
    <cellStyle name="Currency 3 2 4 5 4 2" xfId="15074"/>
    <cellStyle name="Currency 3 2 4 5 4 2 2" xfId="15075"/>
    <cellStyle name="Currency 3 2 4 5 4 3" xfId="15076"/>
    <cellStyle name="Currency 3 2 4 5 5" xfId="15077"/>
    <cellStyle name="Currency 3 2 4 5 5 2" xfId="15078"/>
    <cellStyle name="Currency 3 2 4 5 5 2 2" xfId="15079"/>
    <cellStyle name="Currency 3 2 4 5 5 3" xfId="15080"/>
    <cellStyle name="Currency 3 2 4 5 6" xfId="15081"/>
    <cellStyle name="Currency 3 2 4 5 6 2" xfId="15082"/>
    <cellStyle name="Currency 3 2 4 5 7" xfId="15083"/>
    <cellStyle name="Currency 3 2 4 5 7 2" xfId="36544"/>
    <cellStyle name="Currency 3 2 4 5 8" xfId="15084"/>
    <cellStyle name="Currency 3 2 4 6" xfId="15085"/>
    <cellStyle name="Currency 3 2 4 6 2" xfId="15086"/>
    <cellStyle name="Currency 3 2 4 6 2 2" xfId="15087"/>
    <cellStyle name="Currency 3 2 4 6 2 2 2" xfId="15088"/>
    <cellStyle name="Currency 3 2 4 6 2 2 3" xfId="15089"/>
    <cellStyle name="Currency 3 2 4 6 2 3" xfId="15090"/>
    <cellStyle name="Currency 3 2 4 6 2 3 2" xfId="15091"/>
    <cellStyle name="Currency 3 2 4 6 2 4" xfId="15092"/>
    <cellStyle name="Currency 3 2 4 6 3" xfId="15093"/>
    <cellStyle name="Currency 3 2 4 6 3 2" xfId="15094"/>
    <cellStyle name="Currency 3 2 4 6 3 2 2" xfId="15095"/>
    <cellStyle name="Currency 3 2 4 6 3 3" xfId="15096"/>
    <cellStyle name="Currency 3 2 4 6 4" xfId="15097"/>
    <cellStyle name="Currency 3 2 4 6 4 2" xfId="15098"/>
    <cellStyle name="Currency 3 2 4 6 4 3" xfId="15099"/>
    <cellStyle name="Currency 3 2 4 6 5" xfId="15100"/>
    <cellStyle name="Currency 3 2 4 6 5 2" xfId="15101"/>
    <cellStyle name="Currency 3 2 4 6 6" xfId="15102"/>
    <cellStyle name="Currency 3 2 4 6 6 2" xfId="36545"/>
    <cellStyle name="Currency 3 2 4 6 7" xfId="15103"/>
    <cellStyle name="Currency 3 2 4 7" xfId="15104"/>
    <cellStyle name="Currency 3 2 4 7 2" xfId="15105"/>
    <cellStyle name="Currency 3 2 4 7 2 2" xfId="15106"/>
    <cellStyle name="Currency 3 2 4 7 2 2 2" xfId="15107"/>
    <cellStyle name="Currency 3 2 4 7 2 3" xfId="15108"/>
    <cellStyle name="Currency 3 2 4 7 3" xfId="15109"/>
    <cellStyle name="Currency 3 2 4 7 3 2" xfId="15110"/>
    <cellStyle name="Currency 3 2 4 7 4" xfId="15111"/>
    <cellStyle name="Currency 3 2 4 8" xfId="15112"/>
    <cellStyle name="Currency 3 2 4 8 2" xfId="15113"/>
    <cellStyle name="Currency 3 2 4 8 2 2" xfId="15114"/>
    <cellStyle name="Currency 3 2 4 8 3" xfId="15115"/>
    <cellStyle name="Currency 3 2 4 9" xfId="15116"/>
    <cellStyle name="Currency 3 2 4 9 2" xfId="15117"/>
    <cellStyle name="Currency 3 2 4 9 2 2" xfId="15118"/>
    <cellStyle name="Currency 3 2 4 9 3" xfId="15119"/>
    <cellStyle name="Currency 3 2 5" xfId="15120"/>
    <cellStyle name="Currency 3 2 5 10" xfId="15121"/>
    <cellStyle name="Currency 3 2 5 10 2" xfId="15122"/>
    <cellStyle name="Currency 3 2 5 11" xfId="15123"/>
    <cellStyle name="Currency 3 2 5 11 2" xfId="36546"/>
    <cellStyle name="Currency 3 2 5 12" xfId="15124"/>
    <cellStyle name="Currency 3 2 5 2" xfId="15125"/>
    <cellStyle name="Currency 3 2 5 2 10" xfId="15126"/>
    <cellStyle name="Currency 3 2 5 2 2" xfId="15127"/>
    <cellStyle name="Currency 3 2 5 2 2 2" xfId="15128"/>
    <cellStyle name="Currency 3 2 5 2 2 2 2" xfId="15129"/>
    <cellStyle name="Currency 3 2 5 2 2 2 2 2" xfId="15130"/>
    <cellStyle name="Currency 3 2 5 2 2 2 2 2 2" xfId="15131"/>
    <cellStyle name="Currency 3 2 5 2 2 2 2 2 2 2" xfId="15132"/>
    <cellStyle name="Currency 3 2 5 2 2 2 2 2 2 3" xfId="15133"/>
    <cellStyle name="Currency 3 2 5 2 2 2 2 2 3" xfId="15134"/>
    <cellStyle name="Currency 3 2 5 2 2 2 2 2 3 2" xfId="15135"/>
    <cellStyle name="Currency 3 2 5 2 2 2 2 2 4" xfId="15136"/>
    <cellStyle name="Currency 3 2 5 2 2 2 2 3" xfId="15137"/>
    <cellStyle name="Currency 3 2 5 2 2 2 2 3 2" xfId="15138"/>
    <cellStyle name="Currency 3 2 5 2 2 2 2 3 2 2" xfId="15139"/>
    <cellStyle name="Currency 3 2 5 2 2 2 2 3 3" xfId="15140"/>
    <cellStyle name="Currency 3 2 5 2 2 2 2 4" xfId="15141"/>
    <cellStyle name="Currency 3 2 5 2 2 2 2 4 2" xfId="15142"/>
    <cellStyle name="Currency 3 2 5 2 2 2 2 4 3" xfId="15143"/>
    <cellStyle name="Currency 3 2 5 2 2 2 2 5" xfId="15144"/>
    <cellStyle name="Currency 3 2 5 2 2 2 2 5 2" xfId="15145"/>
    <cellStyle name="Currency 3 2 5 2 2 2 2 6" xfId="15146"/>
    <cellStyle name="Currency 3 2 5 2 2 2 2 6 2" xfId="36547"/>
    <cellStyle name="Currency 3 2 5 2 2 2 2 7" xfId="15147"/>
    <cellStyle name="Currency 3 2 5 2 2 2 3" xfId="15148"/>
    <cellStyle name="Currency 3 2 5 2 2 2 3 2" xfId="15149"/>
    <cellStyle name="Currency 3 2 5 2 2 2 3 2 2" xfId="15150"/>
    <cellStyle name="Currency 3 2 5 2 2 2 3 2 2 2" xfId="15151"/>
    <cellStyle name="Currency 3 2 5 2 2 2 3 2 3" xfId="15152"/>
    <cellStyle name="Currency 3 2 5 2 2 2 3 3" xfId="15153"/>
    <cellStyle name="Currency 3 2 5 2 2 2 3 3 2" xfId="15154"/>
    <cellStyle name="Currency 3 2 5 2 2 2 3 4" xfId="15155"/>
    <cellStyle name="Currency 3 2 5 2 2 2 4" xfId="15156"/>
    <cellStyle name="Currency 3 2 5 2 2 2 4 2" xfId="15157"/>
    <cellStyle name="Currency 3 2 5 2 2 2 4 2 2" xfId="15158"/>
    <cellStyle name="Currency 3 2 5 2 2 2 4 3" xfId="15159"/>
    <cellStyle name="Currency 3 2 5 2 2 2 5" xfId="15160"/>
    <cellStyle name="Currency 3 2 5 2 2 2 5 2" xfId="15161"/>
    <cellStyle name="Currency 3 2 5 2 2 2 5 2 2" xfId="15162"/>
    <cellStyle name="Currency 3 2 5 2 2 2 5 3" xfId="15163"/>
    <cellStyle name="Currency 3 2 5 2 2 2 6" xfId="15164"/>
    <cellStyle name="Currency 3 2 5 2 2 2 6 2" xfId="15165"/>
    <cellStyle name="Currency 3 2 5 2 2 2 7" xfId="15166"/>
    <cellStyle name="Currency 3 2 5 2 2 2 7 2" xfId="36548"/>
    <cellStyle name="Currency 3 2 5 2 2 2 8" xfId="15167"/>
    <cellStyle name="Currency 3 2 5 2 2 3" xfId="15168"/>
    <cellStyle name="Currency 3 2 5 2 2 3 2" xfId="15169"/>
    <cellStyle name="Currency 3 2 5 2 2 3 2 2" xfId="15170"/>
    <cellStyle name="Currency 3 2 5 2 2 3 2 2 2" xfId="15171"/>
    <cellStyle name="Currency 3 2 5 2 2 3 2 2 3" xfId="15172"/>
    <cellStyle name="Currency 3 2 5 2 2 3 2 3" xfId="15173"/>
    <cellStyle name="Currency 3 2 5 2 2 3 2 3 2" xfId="15174"/>
    <cellStyle name="Currency 3 2 5 2 2 3 2 4" xfId="15175"/>
    <cellStyle name="Currency 3 2 5 2 2 3 3" xfId="15176"/>
    <cellStyle name="Currency 3 2 5 2 2 3 3 2" xfId="15177"/>
    <cellStyle name="Currency 3 2 5 2 2 3 3 2 2" xfId="15178"/>
    <cellStyle name="Currency 3 2 5 2 2 3 3 3" xfId="15179"/>
    <cellStyle name="Currency 3 2 5 2 2 3 4" xfId="15180"/>
    <cellStyle name="Currency 3 2 5 2 2 3 4 2" xfId="15181"/>
    <cellStyle name="Currency 3 2 5 2 2 3 4 3" xfId="15182"/>
    <cellStyle name="Currency 3 2 5 2 2 3 5" xfId="15183"/>
    <cellStyle name="Currency 3 2 5 2 2 3 5 2" xfId="15184"/>
    <cellStyle name="Currency 3 2 5 2 2 3 6" xfId="15185"/>
    <cellStyle name="Currency 3 2 5 2 2 3 6 2" xfId="36549"/>
    <cellStyle name="Currency 3 2 5 2 2 3 7" xfId="15186"/>
    <cellStyle name="Currency 3 2 5 2 2 4" xfId="15187"/>
    <cellStyle name="Currency 3 2 5 2 2 4 2" xfId="15188"/>
    <cellStyle name="Currency 3 2 5 2 2 4 2 2" xfId="15189"/>
    <cellStyle name="Currency 3 2 5 2 2 4 2 2 2" xfId="15190"/>
    <cellStyle name="Currency 3 2 5 2 2 4 2 3" xfId="15191"/>
    <cellStyle name="Currency 3 2 5 2 2 4 3" xfId="15192"/>
    <cellStyle name="Currency 3 2 5 2 2 4 3 2" xfId="15193"/>
    <cellStyle name="Currency 3 2 5 2 2 4 4" xfId="15194"/>
    <cellStyle name="Currency 3 2 5 2 2 5" xfId="15195"/>
    <cellStyle name="Currency 3 2 5 2 2 5 2" xfId="15196"/>
    <cellStyle name="Currency 3 2 5 2 2 5 2 2" xfId="15197"/>
    <cellStyle name="Currency 3 2 5 2 2 5 3" xfId="15198"/>
    <cellStyle name="Currency 3 2 5 2 2 6" xfId="15199"/>
    <cellStyle name="Currency 3 2 5 2 2 6 2" xfId="15200"/>
    <cellStyle name="Currency 3 2 5 2 2 6 2 2" xfId="15201"/>
    <cellStyle name="Currency 3 2 5 2 2 6 3" xfId="15202"/>
    <cellStyle name="Currency 3 2 5 2 2 7" xfId="15203"/>
    <cellStyle name="Currency 3 2 5 2 2 7 2" xfId="15204"/>
    <cellStyle name="Currency 3 2 5 2 2 8" xfId="15205"/>
    <cellStyle name="Currency 3 2 5 2 2 8 2" xfId="36550"/>
    <cellStyle name="Currency 3 2 5 2 2 9" xfId="15206"/>
    <cellStyle name="Currency 3 2 5 2 3" xfId="15207"/>
    <cellStyle name="Currency 3 2 5 2 3 2" xfId="15208"/>
    <cellStyle name="Currency 3 2 5 2 3 2 2" xfId="15209"/>
    <cellStyle name="Currency 3 2 5 2 3 2 2 2" xfId="15210"/>
    <cellStyle name="Currency 3 2 5 2 3 2 2 2 2" xfId="15211"/>
    <cellStyle name="Currency 3 2 5 2 3 2 2 2 3" xfId="15212"/>
    <cellStyle name="Currency 3 2 5 2 3 2 2 3" xfId="15213"/>
    <cellStyle name="Currency 3 2 5 2 3 2 2 3 2" xfId="15214"/>
    <cellStyle name="Currency 3 2 5 2 3 2 2 4" xfId="15215"/>
    <cellStyle name="Currency 3 2 5 2 3 2 3" xfId="15216"/>
    <cellStyle name="Currency 3 2 5 2 3 2 3 2" xfId="15217"/>
    <cellStyle name="Currency 3 2 5 2 3 2 3 2 2" xfId="15218"/>
    <cellStyle name="Currency 3 2 5 2 3 2 3 3" xfId="15219"/>
    <cellStyle name="Currency 3 2 5 2 3 2 4" xfId="15220"/>
    <cellStyle name="Currency 3 2 5 2 3 2 4 2" xfId="15221"/>
    <cellStyle name="Currency 3 2 5 2 3 2 4 3" xfId="15222"/>
    <cellStyle name="Currency 3 2 5 2 3 2 5" xfId="15223"/>
    <cellStyle name="Currency 3 2 5 2 3 2 5 2" xfId="15224"/>
    <cellStyle name="Currency 3 2 5 2 3 2 6" xfId="15225"/>
    <cellStyle name="Currency 3 2 5 2 3 2 6 2" xfId="36551"/>
    <cellStyle name="Currency 3 2 5 2 3 2 7" xfId="15226"/>
    <cellStyle name="Currency 3 2 5 2 3 3" xfId="15227"/>
    <cellStyle name="Currency 3 2 5 2 3 3 2" xfId="15228"/>
    <cellStyle name="Currency 3 2 5 2 3 3 2 2" xfId="15229"/>
    <cellStyle name="Currency 3 2 5 2 3 3 2 2 2" xfId="15230"/>
    <cellStyle name="Currency 3 2 5 2 3 3 2 3" xfId="15231"/>
    <cellStyle name="Currency 3 2 5 2 3 3 3" xfId="15232"/>
    <cellStyle name="Currency 3 2 5 2 3 3 3 2" xfId="15233"/>
    <cellStyle name="Currency 3 2 5 2 3 3 4" xfId="15234"/>
    <cellStyle name="Currency 3 2 5 2 3 4" xfId="15235"/>
    <cellStyle name="Currency 3 2 5 2 3 4 2" xfId="15236"/>
    <cellStyle name="Currency 3 2 5 2 3 4 2 2" xfId="15237"/>
    <cellStyle name="Currency 3 2 5 2 3 4 3" xfId="15238"/>
    <cellStyle name="Currency 3 2 5 2 3 5" xfId="15239"/>
    <cellStyle name="Currency 3 2 5 2 3 5 2" xfId="15240"/>
    <cellStyle name="Currency 3 2 5 2 3 5 2 2" xfId="15241"/>
    <cellStyle name="Currency 3 2 5 2 3 5 3" xfId="15242"/>
    <cellStyle name="Currency 3 2 5 2 3 6" xfId="15243"/>
    <cellStyle name="Currency 3 2 5 2 3 6 2" xfId="15244"/>
    <cellStyle name="Currency 3 2 5 2 3 7" xfId="15245"/>
    <cellStyle name="Currency 3 2 5 2 3 7 2" xfId="36552"/>
    <cellStyle name="Currency 3 2 5 2 3 8" xfId="15246"/>
    <cellStyle name="Currency 3 2 5 2 4" xfId="15247"/>
    <cellStyle name="Currency 3 2 5 2 4 2" xfId="15248"/>
    <cellStyle name="Currency 3 2 5 2 4 2 2" xfId="15249"/>
    <cellStyle name="Currency 3 2 5 2 4 2 2 2" xfId="15250"/>
    <cellStyle name="Currency 3 2 5 2 4 2 2 3" xfId="15251"/>
    <cellStyle name="Currency 3 2 5 2 4 2 3" xfId="15252"/>
    <cellStyle name="Currency 3 2 5 2 4 2 3 2" xfId="15253"/>
    <cellStyle name="Currency 3 2 5 2 4 2 4" xfId="15254"/>
    <cellStyle name="Currency 3 2 5 2 4 3" xfId="15255"/>
    <cellStyle name="Currency 3 2 5 2 4 3 2" xfId="15256"/>
    <cellStyle name="Currency 3 2 5 2 4 3 2 2" xfId="15257"/>
    <cellStyle name="Currency 3 2 5 2 4 3 3" xfId="15258"/>
    <cellStyle name="Currency 3 2 5 2 4 4" xfId="15259"/>
    <cellStyle name="Currency 3 2 5 2 4 4 2" xfId="15260"/>
    <cellStyle name="Currency 3 2 5 2 4 4 3" xfId="15261"/>
    <cellStyle name="Currency 3 2 5 2 4 5" xfId="15262"/>
    <cellStyle name="Currency 3 2 5 2 4 5 2" xfId="15263"/>
    <cellStyle name="Currency 3 2 5 2 4 6" xfId="15264"/>
    <cellStyle name="Currency 3 2 5 2 4 6 2" xfId="36553"/>
    <cellStyle name="Currency 3 2 5 2 4 7" xfId="15265"/>
    <cellStyle name="Currency 3 2 5 2 5" xfId="15266"/>
    <cellStyle name="Currency 3 2 5 2 5 2" xfId="15267"/>
    <cellStyle name="Currency 3 2 5 2 5 2 2" xfId="15268"/>
    <cellStyle name="Currency 3 2 5 2 5 2 2 2" xfId="15269"/>
    <cellStyle name="Currency 3 2 5 2 5 2 3" xfId="15270"/>
    <cellStyle name="Currency 3 2 5 2 5 3" xfId="15271"/>
    <cellStyle name="Currency 3 2 5 2 5 3 2" xfId="15272"/>
    <cellStyle name="Currency 3 2 5 2 5 4" xfId="15273"/>
    <cellStyle name="Currency 3 2 5 2 6" xfId="15274"/>
    <cellStyle name="Currency 3 2 5 2 6 2" xfId="15275"/>
    <cellStyle name="Currency 3 2 5 2 6 2 2" xfId="15276"/>
    <cellStyle name="Currency 3 2 5 2 6 3" xfId="15277"/>
    <cellStyle name="Currency 3 2 5 2 7" xfId="15278"/>
    <cellStyle name="Currency 3 2 5 2 7 2" xfId="15279"/>
    <cellStyle name="Currency 3 2 5 2 7 2 2" xfId="15280"/>
    <cellStyle name="Currency 3 2 5 2 7 3" xfId="15281"/>
    <cellStyle name="Currency 3 2 5 2 8" xfId="15282"/>
    <cellStyle name="Currency 3 2 5 2 8 2" xfId="15283"/>
    <cellStyle name="Currency 3 2 5 2 9" xfId="15284"/>
    <cellStyle name="Currency 3 2 5 2 9 2" xfId="36554"/>
    <cellStyle name="Currency 3 2 5 3" xfId="15285"/>
    <cellStyle name="Currency 3 2 5 3 2" xfId="15286"/>
    <cellStyle name="Currency 3 2 5 3 2 2" xfId="15287"/>
    <cellStyle name="Currency 3 2 5 3 2 2 2" xfId="15288"/>
    <cellStyle name="Currency 3 2 5 3 2 2 2 2" xfId="15289"/>
    <cellStyle name="Currency 3 2 5 3 2 2 2 2 2" xfId="15290"/>
    <cellStyle name="Currency 3 2 5 3 2 2 2 2 3" xfId="15291"/>
    <cellStyle name="Currency 3 2 5 3 2 2 2 3" xfId="15292"/>
    <cellStyle name="Currency 3 2 5 3 2 2 2 3 2" xfId="15293"/>
    <cellStyle name="Currency 3 2 5 3 2 2 2 4" xfId="15294"/>
    <cellStyle name="Currency 3 2 5 3 2 2 3" xfId="15295"/>
    <cellStyle name="Currency 3 2 5 3 2 2 3 2" xfId="15296"/>
    <cellStyle name="Currency 3 2 5 3 2 2 3 2 2" xfId="15297"/>
    <cellStyle name="Currency 3 2 5 3 2 2 3 3" xfId="15298"/>
    <cellStyle name="Currency 3 2 5 3 2 2 4" xfId="15299"/>
    <cellStyle name="Currency 3 2 5 3 2 2 4 2" xfId="15300"/>
    <cellStyle name="Currency 3 2 5 3 2 2 4 3" xfId="15301"/>
    <cellStyle name="Currency 3 2 5 3 2 2 5" xfId="15302"/>
    <cellStyle name="Currency 3 2 5 3 2 2 5 2" xfId="15303"/>
    <cellStyle name="Currency 3 2 5 3 2 2 6" xfId="15304"/>
    <cellStyle name="Currency 3 2 5 3 2 2 6 2" xfId="36555"/>
    <cellStyle name="Currency 3 2 5 3 2 2 7" xfId="15305"/>
    <cellStyle name="Currency 3 2 5 3 2 3" xfId="15306"/>
    <cellStyle name="Currency 3 2 5 3 2 3 2" xfId="15307"/>
    <cellStyle name="Currency 3 2 5 3 2 3 2 2" xfId="15308"/>
    <cellStyle name="Currency 3 2 5 3 2 3 2 2 2" xfId="15309"/>
    <cellStyle name="Currency 3 2 5 3 2 3 2 3" xfId="15310"/>
    <cellStyle name="Currency 3 2 5 3 2 3 3" xfId="15311"/>
    <cellStyle name="Currency 3 2 5 3 2 3 3 2" xfId="15312"/>
    <cellStyle name="Currency 3 2 5 3 2 3 4" xfId="15313"/>
    <cellStyle name="Currency 3 2 5 3 2 4" xfId="15314"/>
    <cellStyle name="Currency 3 2 5 3 2 4 2" xfId="15315"/>
    <cellStyle name="Currency 3 2 5 3 2 4 2 2" xfId="15316"/>
    <cellStyle name="Currency 3 2 5 3 2 4 3" xfId="15317"/>
    <cellStyle name="Currency 3 2 5 3 2 5" xfId="15318"/>
    <cellStyle name="Currency 3 2 5 3 2 5 2" xfId="15319"/>
    <cellStyle name="Currency 3 2 5 3 2 5 2 2" xfId="15320"/>
    <cellStyle name="Currency 3 2 5 3 2 5 3" xfId="15321"/>
    <cellStyle name="Currency 3 2 5 3 2 6" xfId="15322"/>
    <cellStyle name="Currency 3 2 5 3 2 6 2" xfId="15323"/>
    <cellStyle name="Currency 3 2 5 3 2 7" xfId="15324"/>
    <cellStyle name="Currency 3 2 5 3 2 7 2" xfId="36556"/>
    <cellStyle name="Currency 3 2 5 3 2 8" xfId="15325"/>
    <cellStyle name="Currency 3 2 5 3 3" xfId="15326"/>
    <cellStyle name="Currency 3 2 5 3 3 2" xfId="15327"/>
    <cellStyle name="Currency 3 2 5 3 3 2 2" xfId="15328"/>
    <cellStyle name="Currency 3 2 5 3 3 2 2 2" xfId="15329"/>
    <cellStyle name="Currency 3 2 5 3 3 2 2 3" xfId="15330"/>
    <cellStyle name="Currency 3 2 5 3 3 2 3" xfId="15331"/>
    <cellStyle name="Currency 3 2 5 3 3 2 3 2" xfId="15332"/>
    <cellStyle name="Currency 3 2 5 3 3 2 4" xfId="15333"/>
    <cellStyle name="Currency 3 2 5 3 3 3" xfId="15334"/>
    <cellStyle name="Currency 3 2 5 3 3 3 2" xfId="15335"/>
    <cellStyle name="Currency 3 2 5 3 3 3 2 2" xfId="15336"/>
    <cellStyle name="Currency 3 2 5 3 3 3 3" xfId="15337"/>
    <cellStyle name="Currency 3 2 5 3 3 4" xfId="15338"/>
    <cellStyle name="Currency 3 2 5 3 3 4 2" xfId="15339"/>
    <cellStyle name="Currency 3 2 5 3 3 4 3" xfId="15340"/>
    <cellStyle name="Currency 3 2 5 3 3 5" xfId="15341"/>
    <cellStyle name="Currency 3 2 5 3 3 5 2" xfId="15342"/>
    <cellStyle name="Currency 3 2 5 3 3 6" xfId="15343"/>
    <cellStyle name="Currency 3 2 5 3 3 6 2" xfId="36557"/>
    <cellStyle name="Currency 3 2 5 3 3 7" xfId="15344"/>
    <cellStyle name="Currency 3 2 5 3 4" xfId="15345"/>
    <cellStyle name="Currency 3 2 5 3 4 2" xfId="15346"/>
    <cellStyle name="Currency 3 2 5 3 4 2 2" xfId="15347"/>
    <cellStyle name="Currency 3 2 5 3 4 2 2 2" xfId="15348"/>
    <cellStyle name="Currency 3 2 5 3 4 2 3" xfId="15349"/>
    <cellStyle name="Currency 3 2 5 3 4 3" xfId="15350"/>
    <cellStyle name="Currency 3 2 5 3 4 3 2" xfId="15351"/>
    <cellStyle name="Currency 3 2 5 3 4 4" xfId="15352"/>
    <cellStyle name="Currency 3 2 5 3 5" xfId="15353"/>
    <cellStyle name="Currency 3 2 5 3 5 2" xfId="15354"/>
    <cellStyle name="Currency 3 2 5 3 5 2 2" xfId="15355"/>
    <cellStyle name="Currency 3 2 5 3 5 3" xfId="15356"/>
    <cellStyle name="Currency 3 2 5 3 6" xfId="15357"/>
    <cellStyle name="Currency 3 2 5 3 6 2" xfId="15358"/>
    <cellStyle name="Currency 3 2 5 3 6 2 2" xfId="15359"/>
    <cellStyle name="Currency 3 2 5 3 6 3" xfId="15360"/>
    <cellStyle name="Currency 3 2 5 3 7" xfId="15361"/>
    <cellStyle name="Currency 3 2 5 3 7 2" xfId="15362"/>
    <cellStyle name="Currency 3 2 5 3 8" xfId="15363"/>
    <cellStyle name="Currency 3 2 5 3 8 2" xfId="36558"/>
    <cellStyle name="Currency 3 2 5 3 9" xfId="15364"/>
    <cellStyle name="Currency 3 2 5 4" xfId="15365"/>
    <cellStyle name="Currency 3 2 5 4 2" xfId="15366"/>
    <cellStyle name="Currency 3 2 5 4 2 2" xfId="15367"/>
    <cellStyle name="Currency 3 2 5 4 2 2 2" xfId="15368"/>
    <cellStyle name="Currency 3 2 5 4 2 2 2 2" xfId="15369"/>
    <cellStyle name="Currency 3 2 5 4 2 2 2 3" xfId="15370"/>
    <cellStyle name="Currency 3 2 5 4 2 2 3" xfId="15371"/>
    <cellStyle name="Currency 3 2 5 4 2 2 3 2" xfId="15372"/>
    <cellStyle name="Currency 3 2 5 4 2 2 4" xfId="15373"/>
    <cellStyle name="Currency 3 2 5 4 2 3" xfId="15374"/>
    <cellStyle name="Currency 3 2 5 4 2 3 2" xfId="15375"/>
    <cellStyle name="Currency 3 2 5 4 2 3 2 2" xfId="15376"/>
    <cellStyle name="Currency 3 2 5 4 2 3 3" xfId="15377"/>
    <cellStyle name="Currency 3 2 5 4 2 4" xfId="15378"/>
    <cellStyle name="Currency 3 2 5 4 2 4 2" xfId="15379"/>
    <cellStyle name="Currency 3 2 5 4 2 4 3" xfId="15380"/>
    <cellStyle name="Currency 3 2 5 4 2 5" xfId="15381"/>
    <cellStyle name="Currency 3 2 5 4 2 5 2" xfId="15382"/>
    <cellStyle name="Currency 3 2 5 4 2 6" xfId="15383"/>
    <cellStyle name="Currency 3 2 5 4 2 6 2" xfId="36559"/>
    <cellStyle name="Currency 3 2 5 4 2 7" xfId="15384"/>
    <cellStyle name="Currency 3 2 5 4 3" xfId="15385"/>
    <cellStyle name="Currency 3 2 5 4 3 2" xfId="15386"/>
    <cellStyle name="Currency 3 2 5 4 3 2 2" xfId="15387"/>
    <cellStyle name="Currency 3 2 5 4 3 2 2 2" xfId="15388"/>
    <cellStyle name="Currency 3 2 5 4 3 2 3" xfId="15389"/>
    <cellStyle name="Currency 3 2 5 4 3 3" xfId="15390"/>
    <cellStyle name="Currency 3 2 5 4 3 3 2" xfId="15391"/>
    <cellStyle name="Currency 3 2 5 4 3 4" xfId="15392"/>
    <cellStyle name="Currency 3 2 5 4 4" xfId="15393"/>
    <cellStyle name="Currency 3 2 5 4 4 2" xfId="15394"/>
    <cellStyle name="Currency 3 2 5 4 4 2 2" xfId="15395"/>
    <cellStyle name="Currency 3 2 5 4 4 3" xfId="15396"/>
    <cellStyle name="Currency 3 2 5 4 5" xfId="15397"/>
    <cellStyle name="Currency 3 2 5 4 5 2" xfId="15398"/>
    <cellStyle name="Currency 3 2 5 4 5 2 2" xfId="15399"/>
    <cellStyle name="Currency 3 2 5 4 5 3" xfId="15400"/>
    <cellStyle name="Currency 3 2 5 4 6" xfId="15401"/>
    <cellStyle name="Currency 3 2 5 4 6 2" xfId="15402"/>
    <cellStyle name="Currency 3 2 5 4 7" xfId="15403"/>
    <cellStyle name="Currency 3 2 5 4 7 2" xfId="36560"/>
    <cellStyle name="Currency 3 2 5 4 8" xfId="15404"/>
    <cellStyle name="Currency 3 2 5 5" xfId="15405"/>
    <cellStyle name="Currency 3 2 5 5 2" xfId="15406"/>
    <cellStyle name="Currency 3 2 5 5 2 2" xfId="15407"/>
    <cellStyle name="Currency 3 2 5 5 2 2 2" xfId="15408"/>
    <cellStyle name="Currency 3 2 5 5 2 2 2 2" xfId="15409"/>
    <cellStyle name="Currency 3 2 5 5 2 2 2 3" xfId="15410"/>
    <cellStyle name="Currency 3 2 5 5 2 2 3" xfId="15411"/>
    <cellStyle name="Currency 3 2 5 5 2 2 3 2" xfId="15412"/>
    <cellStyle name="Currency 3 2 5 5 2 2 4" xfId="15413"/>
    <cellStyle name="Currency 3 2 5 5 2 3" xfId="15414"/>
    <cellStyle name="Currency 3 2 5 5 2 3 2" xfId="15415"/>
    <cellStyle name="Currency 3 2 5 5 2 3 2 2" xfId="15416"/>
    <cellStyle name="Currency 3 2 5 5 2 3 3" xfId="15417"/>
    <cellStyle name="Currency 3 2 5 5 2 4" xfId="15418"/>
    <cellStyle name="Currency 3 2 5 5 2 4 2" xfId="15419"/>
    <cellStyle name="Currency 3 2 5 5 2 4 3" xfId="15420"/>
    <cellStyle name="Currency 3 2 5 5 2 5" xfId="15421"/>
    <cellStyle name="Currency 3 2 5 5 2 5 2" xfId="15422"/>
    <cellStyle name="Currency 3 2 5 5 2 6" xfId="15423"/>
    <cellStyle name="Currency 3 2 5 5 2 6 2" xfId="36561"/>
    <cellStyle name="Currency 3 2 5 5 2 7" xfId="15424"/>
    <cellStyle name="Currency 3 2 5 5 3" xfId="15425"/>
    <cellStyle name="Currency 3 2 5 5 3 2" xfId="15426"/>
    <cellStyle name="Currency 3 2 5 5 3 2 2" xfId="15427"/>
    <cellStyle name="Currency 3 2 5 5 3 2 2 2" xfId="15428"/>
    <cellStyle name="Currency 3 2 5 5 3 2 3" xfId="15429"/>
    <cellStyle name="Currency 3 2 5 5 3 3" xfId="15430"/>
    <cellStyle name="Currency 3 2 5 5 3 3 2" xfId="15431"/>
    <cellStyle name="Currency 3 2 5 5 3 4" xfId="15432"/>
    <cellStyle name="Currency 3 2 5 5 4" xfId="15433"/>
    <cellStyle name="Currency 3 2 5 5 4 2" xfId="15434"/>
    <cellStyle name="Currency 3 2 5 5 4 2 2" xfId="15435"/>
    <cellStyle name="Currency 3 2 5 5 4 3" xfId="15436"/>
    <cellStyle name="Currency 3 2 5 5 5" xfId="15437"/>
    <cellStyle name="Currency 3 2 5 5 5 2" xfId="15438"/>
    <cellStyle name="Currency 3 2 5 5 5 2 2" xfId="15439"/>
    <cellStyle name="Currency 3 2 5 5 5 3" xfId="15440"/>
    <cellStyle name="Currency 3 2 5 5 6" xfId="15441"/>
    <cellStyle name="Currency 3 2 5 5 6 2" xfId="15442"/>
    <cellStyle name="Currency 3 2 5 5 7" xfId="15443"/>
    <cellStyle name="Currency 3 2 5 5 7 2" xfId="36562"/>
    <cellStyle name="Currency 3 2 5 5 8" xfId="15444"/>
    <cellStyle name="Currency 3 2 5 6" xfId="15445"/>
    <cellStyle name="Currency 3 2 5 6 2" xfId="15446"/>
    <cellStyle name="Currency 3 2 5 6 2 2" xfId="15447"/>
    <cellStyle name="Currency 3 2 5 6 2 2 2" xfId="15448"/>
    <cellStyle name="Currency 3 2 5 6 2 2 3" xfId="15449"/>
    <cellStyle name="Currency 3 2 5 6 2 3" xfId="15450"/>
    <cellStyle name="Currency 3 2 5 6 2 3 2" xfId="15451"/>
    <cellStyle name="Currency 3 2 5 6 2 4" xfId="15452"/>
    <cellStyle name="Currency 3 2 5 6 3" xfId="15453"/>
    <cellStyle name="Currency 3 2 5 6 3 2" xfId="15454"/>
    <cellStyle name="Currency 3 2 5 6 3 2 2" xfId="15455"/>
    <cellStyle name="Currency 3 2 5 6 3 3" xfId="15456"/>
    <cellStyle name="Currency 3 2 5 6 4" xfId="15457"/>
    <cellStyle name="Currency 3 2 5 6 4 2" xfId="15458"/>
    <cellStyle name="Currency 3 2 5 6 4 3" xfId="15459"/>
    <cellStyle name="Currency 3 2 5 6 5" xfId="15460"/>
    <cellStyle name="Currency 3 2 5 6 5 2" xfId="15461"/>
    <cellStyle name="Currency 3 2 5 6 6" xfId="15462"/>
    <cellStyle name="Currency 3 2 5 6 6 2" xfId="36563"/>
    <cellStyle name="Currency 3 2 5 6 7" xfId="15463"/>
    <cellStyle name="Currency 3 2 5 7" xfId="15464"/>
    <cellStyle name="Currency 3 2 5 7 2" xfId="15465"/>
    <cellStyle name="Currency 3 2 5 7 2 2" xfId="15466"/>
    <cellStyle name="Currency 3 2 5 7 2 2 2" xfId="15467"/>
    <cellStyle name="Currency 3 2 5 7 2 3" xfId="15468"/>
    <cellStyle name="Currency 3 2 5 7 3" xfId="15469"/>
    <cellStyle name="Currency 3 2 5 7 3 2" xfId="15470"/>
    <cellStyle name="Currency 3 2 5 7 4" xfId="15471"/>
    <cellStyle name="Currency 3 2 5 8" xfId="15472"/>
    <cellStyle name="Currency 3 2 5 8 2" xfId="15473"/>
    <cellStyle name="Currency 3 2 5 8 2 2" xfId="15474"/>
    <cellStyle name="Currency 3 2 5 8 3" xfId="15475"/>
    <cellStyle name="Currency 3 2 5 9" xfId="15476"/>
    <cellStyle name="Currency 3 2 5 9 2" xfId="15477"/>
    <cellStyle name="Currency 3 2 5 9 2 2" xfId="15478"/>
    <cellStyle name="Currency 3 2 5 9 3" xfId="15479"/>
    <cellStyle name="Currency 3 2 6" xfId="15480"/>
    <cellStyle name="Currency 3 2 6 10" xfId="15481"/>
    <cellStyle name="Currency 3 2 6 2" xfId="15482"/>
    <cellStyle name="Currency 3 2 6 2 2" xfId="15483"/>
    <cellStyle name="Currency 3 2 6 2 2 2" xfId="15484"/>
    <cellStyle name="Currency 3 2 6 2 2 2 2" xfId="15485"/>
    <cellStyle name="Currency 3 2 6 2 2 2 2 2" xfId="15486"/>
    <cellStyle name="Currency 3 2 6 2 2 2 2 2 2" xfId="15487"/>
    <cellStyle name="Currency 3 2 6 2 2 2 2 2 3" xfId="15488"/>
    <cellStyle name="Currency 3 2 6 2 2 2 2 3" xfId="15489"/>
    <cellStyle name="Currency 3 2 6 2 2 2 2 3 2" xfId="15490"/>
    <cellStyle name="Currency 3 2 6 2 2 2 2 4" xfId="15491"/>
    <cellStyle name="Currency 3 2 6 2 2 2 3" xfId="15492"/>
    <cellStyle name="Currency 3 2 6 2 2 2 3 2" xfId="15493"/>
    <cellStyle name="Currency 3 2 6 2 2 2 3 2 2" xfId="15494"/>
    <cellStyle name="Currency 3 2 6 2 2 2 3 3" xfId="15495"/>
    <cellStyle name="Currency 3 2 6 2 2 2 4" xfId="15496"/>
    <cellStyle name="Currency 3 2 6 2 2 2 4 2" xfId="15497"/>
    <cellStyle name="Currency 3 2 6 2 2 2 4 3" xfId="15498"/>
    <cellStyle name="Currency 3 2 6 2 2 2 5" xfId="15499"/>
    <cellStyle name="Currency 3 2 6 2 2 2 5 2" xfId="15500"/>
    <cellStyle name="Currency 3 2 6 2 2 2 6" xfId="15501"/>
    <cellStyle name="Currency 3 2 6 2 2 2 6 2" xfId="36564"/>
    <cellStyle name="Currency 3 2 6 2 2 2 7" xfId="15502"/>
    <cellStyle name="Currency 3 2 6 2 2 3" xfId="15503"/>
    <cellStyle name="Currency 3 2 6 2 2 3 2" xfId="15504"/>
    <cellStyle name="Currency 3 2 6 2 2 3 2 2" xfId="15505"/>
    <cellStyle name="Currency 3 2 6 2 2 3 2 2 2" xfId="15506"/>
    <cellStyle name="Currency 3 2 6 2 2 3 2 3" xfId="15507"/>
    <cellStyle name="Currency 3 2 6 2 2 3 3" xfId="15508"/>
    <cellStyle name="Currency 3 2 6 2 2 3 3 2" xfId="15509"/>
    <cellStyle name="Currency 3 2 6 2 2 3 4" xfId="15510"/>
    <cellStyle name="Currency 3 2 6 2 2 4" xfId="15511"/>
    <cellStyle name="Currency 3 2 6 2 2 4 2" xfId="15512"/>
    <cellStyle name="Currency 3 2 6 2 2 4 2 2" xfId="15513"/>
    <cellStyle name="Currency 3 2 6 2 2 4 3" xfId="15514"/>
    <cellStyle name="Currency 3 2 6 2 2 5" xfId="15515"/>
    <cellStyle name="Currency 3 2 6 2 2 5 2" xfId="15516"/>
    <cellStyle name="Currency 3 2 6 2 2 5 2 2" xfId="15517"/>
    <cellStyle name="Currency 3 2 6 2 2 5 3" xfId="15518"/>
    <cellStyle name="Currency 3 2 6 2 2 6" xfId="15519"/>
    <cellStyle name="Currency 3 2 6 2 2 6 2" xfId="15520"/>
    <cellStyle name="Currency 3 2 6 2 2 7" xfId="15521"/>
    <cellStyle name="Currency 3 2 6 2 2 7 2" xfId="36565"/>
    <cellStyle name="Currency 3 2 6 2 2 8" xfId="15522"/>
    <cellStyle name="Currency 3 2 6 2 3" xfId="15523"/>
    <cellStyle name="Currency 3 2 6 2 3 2" xfId="15524"/>
    <cellStyle name="Currency 3 2 6 2 3 2 2" xfId="15525"/>
    <cellStyle name="Currency 3 2 6 2 3 2 2 2" xfId="15526"/>
    <cellStyle name="Currency 3 2 6 2 3 2 2 3" xfId="15527"/>
    <cellStyle name="Currency 3 2 6 2 3 2 3" xfId="15528"/>
    <cellStyle name="Currency 3 2 6 2 3 2 3 2" xfId="15529"/>
    <cellStyle name="Currency 3 2 6 2 3 2 4" xfId="15530"/>
    <cellStyle name="Currency 3 2 6 2 3 3" xfId="15531"/>
    <cellStyle name="Currency 3 2 6 2 3 3 2" xfId="15532"/>
    <cellStyle name="Currency 3 2 6 2 3 3 2 2" xfId="15533"/>
    <cellStyle name="Currency 3 2 6 2 3 3 3" xfId="15534"/>
    <cellStyle name="Currency 3 2 6 2 3 4" xfId="15535"/>
    <cellStyle name="Currency 3 2 6 2 3 4 2" xfId="15536"/>
    <cellStyle name="Currency 3 2 6 2 3 4 3" xfId="15537"/>
    <cellStyle name="Currency 3 2 6 2 3 5" xfId="15538"/>
    <cellStyle name="Currency 3 2 6 2 3 5 2" xfId="15539"/>
    <cellStyle name="Currency 3 2 6 2 3 6" xfId="15540"/>
    <cellStyle name="Currency 3 2 6 2 3 6 2" xfId="36566"/>
    <cellStyle name="Currency 3 2 6 2 3 7" xfId="15541"/>
    <cellStyle name="Currency 3 2 6 2 4" xfId="15542"/>
    <cellStyle name="Currency 3 2 6 2 4 2" xfId="15543"/>
    <cellStyle name="Currency 3 2 6 2 4 2 2" xfId="15544"/>
    <cellStyle name="Currency 3 2 6 2 4 2 2 2" xfId="15545"/>
    <cellStyle name="Currency 3 2 6 2 4 2 3" xfId="15546"/>
    <cellStyle name="Currency 3 2 6 2 4 3" xfId="15547"/>
    <cellStyle name="Currency 3 2 6 2 4 3 2" xfId="15548"/>
    <cellStyle name="Currency 3 2 6 2 4 4" xfId="15549"/>
    <cellStyle name="Currency 3 2 6 2 5" xfId="15550"/>
    <cellStyle name="Currency 3 2 6 2 5 2" xfId="15551"/>
    <cellStyle name="Currency 3 2 6 2 5 2 2" xfId="15552"/>
    <cellStyle name="Currency 3 2 6 2 5 3" xfId="15553"/>
    <cellStyle name="Currency 3 2 6 2 6" xfId="15554"/>
    <cellStyle name="Currency 3 2 6 2 6 2" xfId="15555"/>
    <cellStyle name="Currency 3 2 6 2 6 2 2" xfId="15556"/>
    <cellStyle name="Currency 3 2 6 2 6 3" xfId="15557"/>
    <cellStyle name="Currency 3 2 6 2 7" xfId="15558"/>
    <cellStyle name="Currency 3 2 6 2 7 2" xfId="15559"/>
    <cellStyle name="Currency 3 2 6 2 8" xfId="15560"/>
    <cellStyle name="Currency 3 2 6 2 8 2" xfId="36567"/>
    <cellStyle name="Currency 3 2 6 2 9" xfId="15561"/>
    <cellStyle name="Currency 3 2 6 3" xfId="15562"/>
    <cellStyle name="Currency 3 2 6 3 2" xfId="15563"/>
    <cellStyle name="Currency 3 2 6 3 2 2" xfId="15564"/>
    <cellStyle name="Currency 3 2 6 3 2 2 2" xfId="15565"/>
    <cellStyle name="Currency 3 2 6 3 2 2 2 2" xfId="15566"/>
    <cellStyle name="Currency 3 2 6 3 2 2 2 3" xfId="15567"/>
    <cellStyle name="Currency 3 2 6 3 2 2 3" xfId="15568"/>
    <cellStyle name="Currency 3 2 6 3 2 2 3 2" xfId="15569"/>
    <cellStyle name="Currency 3 2 6 3 2 2 4" xfId="15570"/>
    <cellStyle name="Currency 3 2 6 3 2 3" xfId="15571"/>
    <cellStyle name="Currency 3 2 6 3 2 3 2" xfId="15572"/>
    <cellStyle name="Currency 3 2 6 3 2 3 2 2" xfId="15573"/>
    <cellStyle name="Currency 3 2 6 3 2 3 3" xfId="15574"/>
    <cellStyle name="Currency 3 2 6 3 2 4" xfId="15575"/>
    <cellStyle name="Currency 3 2 6 3 2 4 2" xfId="15576"/>
    <cellStyle name="Currency 3 2 6 3 2 4 3" xfId="15577"/>
    <cellStyle name="Currency 3 2 6 3 2 5" xfId="15578"/>
    <cellStyle name="Currency 3 2 6 3 2 5 2" xfId="15579"/>
    <cellStyle name="Currency 3 2 6 3 2 6" xfId="15580"/>
    <cellStyle name="Currency 3 2 6 3 2 6 2" xfId="36568"/>
    <cellStyle name="Currency 3 2 6 3 2 7" xfId="15581"/>
    <cellStyle name="Currency 3 2 6 3 3" xfId="15582"/>
    <cellStyle name="Currency 3 2 6 3 3 2" xfId="15583"/>
    <cellStyle name="Currency 3 2 6 3 3 2 2" xfId="15584"/>
    <cellStyle name="Currency 3 2 6 3 3 2 2 2" xfId="15585"/>
    <cellStyle name="Currency 3 2 6 3 3 2 3" xfId="15586"/>
    <cellStyle name="Currency 3 2 6 3 3 3" xfId="15587"/>
    <cellStyle name="Currency 3 2 6 3 3 3 2" xfId="15588"/>
    <cellStyle name="Currency 3 2 6 3 3 4" xfId="15589"/>
    <cellStyle name="Currency 3 2 6 3 4" xfId="15590"/>
    <cellStyle name="Currency 3 2 6 3 4 2" xfId="15591"/>
    <cellStyle name="Currency 3 2 6 3 4 2 2" xfId="15592"/>
    <cellStyle name="Currency 3 2 6 3 4 3" xfId="15593"/>
    <cellStyle name="Currency 3 2 6 3 5" xfId="15594"/>
    <cellStyle name="Currency 3 2 6 3 5 2" xfId="15595"/>
    <cellStyle name="Currency 3 2 6 3 5 2 2" xfId="15596"/>
    <cellStyle name="Currency 3 2 6 3 5 3" xfId="15597"/>
    <cellStyle name="Currency 3 2 6 3 6" xfId="15598"/>
    <cellStyle name="Currency 3 2 6 3 6 2" xfId="15599"/>
    <cellStyle name="Currency 3 2 6 3 7" xfId="15600"/>
    <cellStyle name="Currency 3 2 6 3 7 2" xfId="36569"/>
    <cellStyle name="Currency 3 2 6 3 8" xfId="15601"/>
    <cellStyle name="Currency 3 2 6 4" xfId="15602"/>
    <cellStyle name="Currency 3 2 6 4 2" xfId="15603"/>
    <cellStyle name="Currency 3 2 6 4 2 2" xfId="15604"/>
    <cellStyle name="Currency 3 2 6 4 2 2 2" xfId="15605"/>
    <cellStyle name="Currency 3 2 6 4 2 2 3" xfId="15606"/>
    <cellStyle name="Currency 3 2 6 4 2 3" xfId="15607"/>
    <cellStyle name="Currency 3 2 6 4 2 3 2" xfId="15608"/>
    <cellStyle name="Currency 3 2 6 4 2 4" xfId="15609"/>
    <cellStyle name="Currency 3 2 6 4 3" xfId="15610"/>
    <cellStyle name="Currency 3 2 6 4 3 2" xfId="15611"/>
    <cellStyle name="Currency 3 2 6 4 3 2 2" xfId="15612"/>
    <cellStyle name="Currency 3 2 6 4 3 3" xfId="15613"/>
    <cellStyle name="Currency 3 2 6 4 4" xfId="15614"/>
    <cellStyle name="Currency 3 2 6 4 4 2" xfId="15615"/>
    <cellStyle name="Currency 3 2 6 4 4 3" xfId="15616"/>
    <cellStyle name="Currency 3 2 6 4 5" xfId="15617"/>
    <cellStyle name="Currency 3 2 6 4 5 2" xfId="15618"/>
    <cellStyle name="Currency 3 2 6 4 6" xfId="15619"/>
    <cellStyle name="Currency 3 2 6 4 6 2" xfId="36570"/>
    <cellStyle name="Currency 3 2 6 4 7" xfId="15620"/>
    <cellStyle name="Currency 3 2 6 5" xfId="15621"/>
    <cellStyle name="Currency 3 2 6 5 2" xfId="15622"/>
    <cellStyle name="Currency 3 2 6 5 2 2" xfId="15623"/>
    <cellStyle name="Currency 3 2 6 5 2 2 2" xfId="15624"/>
    <cellStyle name="Currency 3 2 6 5 2 3" xfId="15625"/>
    <cellStyle name="Currency 3 2 6 5 3" xfId="15626"/>
    <cellStyle name="Currency 3 2 6 5 3 2" xfId="15627"/>
    <cellStyle name="Currency 3 2 6 5 4" xfId="15628"/>
    <cellStyle name="Currency 3 2 6 6" xfId="15629"/>
    <cellStyle name="Currency 3 2 6 6 2" xfId="15630"/>
    <cellStyle name="Currency 3 2 6 6 2 2" xfId="15631"/>
    <cellStyle name="Currency 3 2 6 6 3" xfId="15632"/>
    <cellStyle name="Currency 3 2 6 7" xfId="15633"/>
    <cellStyle name="Currency 3 2 6 7 2" xfId="15634"/>
    <cellStyle name="Currency 3 2 6 7 2 2" xfId="15635"/>
    <cellStyle name="Currency 3 2 6 7 3" xfId="15636"/>
    <cellStyle name="Currency 3 2 6 8" xfId="15637"/>
    <cellStyle name="Currency 3 2 6 8 2" xfId="15638"/>
    <cellStyle name="Currency 3 2 6 9" xfId="15639"/>
    <cellStyle name="Currency 3 2 6 9 2" xfId="36571"/>
    <cellStyle name="Currency 3 2 7" xfId="15640"/>
    <cellStyle name="Currency 3 2 7 2" xfId="15641"/>
    <cellStyle name="Currency 3 2 7 2 2" xfId="15642"/>
    <cellStyle name="Currency 3 2 7 2 2 2" xfId="15643"/>
    <cellStyle name="Currency 3 2 7 2 2 2 2" xfId="15644"/>
    <cellStyle name="Currency 3 2 7 2 2 2 2 2" xfId="15645"/>
    <cellStyle name="Currency 3 2 7 2 2 2 2 3" xfId="15646"/>
    <cellStyle name="Currency 3 2 7 2 2 2 3" xfId="15647"/>
    <cellStyle name="Currency 3 2 7 2 2 2 3 2" xfId="15648"/>
    <cellStyle name="Currency 3 2 7 2 2 2 4" xfId="15649"/>
    <cellStyle name="Currency 3 2 7 2 2 3" xfId="15650"/>
    <cellStyle name="Currency 3 2 7 2 2 3 2" xfId="15651"/>
    <cellStyle name="Currency 3 2 7 2 2 3 2 2" xfId="15652"/>
    <cellStyle name="Currency 3 2 7 2 2 3 3" xfId="15653"/>
    <cellStyle name="Currency 3 2 7 2 2 4" xfId="15654"/>
    <cellStyle name="Currency 3 2 7 2 2 4 2" xfId="15655"/>
    <cellStyle name="Currency 3 2 7 2 2 4 3" xfId="15656"/>
    <cellStyle name="Currency 3 2 7 2 2 5" xfId="15657"/>
    <cellStyle name="Currency 3 2 7 2 2 5 2" xfId="15658"/>
    <cellStyle name="Currency 3 2 7 2 2 6" xfId="15659"/>
    <cellStyle name="Currency 3 2 7 2 2 6 2" xfId="36572"/>
    <cellStyle name="Currency 3 2 7 2 2 7" xfId="15660"/>
    <cellStyle name="Currency 3 2 7 2 3" xfId="15661"/>
    <cellStyle name="Currency 3 2 7 2 3 2" xfId="15662"/>
    <cellStyle name="Currency 3 2 7 2 3 2 2" xfId="15663"/>
    <cellStyle name="Currency 3 2 7 2 3 2 2 2" xfId="15664"/>
    <cellStyle name="Currency 3 2 7 2 3 2 3" xfId="15665"/>
    <cellStyle name="Currency 3 2 7 2 3 3" xfId="15666"/>
    <cellStyle name="Currency 3 2 7 2 3 3 2" xfId="15667"/>
    <cellStyle name="Currency 3 2 7 2 3 4" xfId="15668"/>
    <cellStyle name="Currency 3 2 7 2 4" xfId="15669"/>
    <cellStyle name="Currency 3 2 7 2 4 2" xfId="15670"/>
    <cellStyle name="Currency 3 2 7 2 4 2 2" xfId="15671"/>
    <cellStyle name="Currency 3 2 7 2 4 3" xfId="15672"/>
    <cellStyle name="Currency 3 2 7 2 5" xfId="15673"/>
    <cellStyle name="Currency 3 2 7 2 5 2" xfId="15674"/>
    <cellStyle name="Currency 3 2 7 2 5 2 2" xfId="15675"/>
    <cellStyle name="Currency 3 2 7 2 5 3" xfId="15676"/>
    <cellStyle name="Currency 3 2 7 2 6" xfId="15677"/>
    <cellStyle name="Currency 3 2 7 2 6 2" xfId="15678"/>
    <cellStyle name="Currency 3 2 7 2 7" xfId="15679"/>
    <cellStyle name="Currency 3 2 7 2 7 2" xfId="36573"/>
    <cellStyle name="Currency 3 2 7 2 8" xfId="15680"/>
    <cellStyle name="Currency 3 2 7 3" xfId="15681"/>
    <cellStyle name="Currency 3 2 7 3 2" xfId="15682"/>
    <cellStyle name="Currency 3 2 7 3 2 2" xfId="15683"/>
    <cellStyle name="Currency 3 2 7 3 2 2 2" xfId="15684"/>
    <cellStyle name="Currency 3 2 7 3 2 2 3" xfId="15685"/>
    <cellStyle name="Currency 3 2 7 3 2 3" xfId="15686"/>
    <cellStyle name="Currency 3 2 7 3 2 3 2" xfId="15687"/>
    <cellStyle name="Currency 3 2 7 3 2 4" xfId="15688"/>
    <cellStyle name="Currency 3 2 7 3 3" xfId="15689"/>
    <cellStyle name="Currency 3 2 7 3 3 2" xfId="15690"/>
    <cellStyle name="Currency 3 2 7 3 3 2 2" xfId="15691"/>
    <cellStyle name="Currency 3 2 7 3 3 3" xfId="15692"/>
    <cellStyle name="Currency 3 2 7 3 4" xfId="15693"/>
    <cellStyle name="Currency 3 2 7 3 4 2" xfId="15694"/>
    <cellStyle name="Currency 3 2 7 3 4 3" xfId="15695"/>
    <cellStyle name="Currency 3 2 7 3 5" xfId="15696"/>
    <cellStyle name="Currency 3 2 7 3 5 2" xfId="15697"/>
    <cellStyle name="Currency 3 2 7 3 6" xfId="15698"/>
    <cellStyle name="Currency 3 2 7 3 6 2" xfId="36574"/>
    <cellStyle name="Currency 3 2 7 3 7" xfId="15699"/>
    <cellStyle name="Currency 3 2 7 4" xfId="15700"/>
    <cellStyle name="Currency 3 2 7 4 2" xfId="15701"/>
    <cellStyle name="Currency 3 2 7 4 2 2" xfId="15702"/>
    <cellStyle name="Currency 3 2 7 4 2 2 2" xfId="15703"/>
    <cellStyle name="Currency 3 2 7 4 2 3" xfId="15704"/>
    <cellStyle name="Currency 3 2 7 4 3" xfId="15705"/>
    <cellStyle name="Currency 3 2 7 4 3 2" xfId="15706"/>
    <cellStyle name="Currency 3 2 7 4 4" xfId="15707"/>
    <cellStyle name="Currency 3 2 7 5" xfId="15708"/>
    <cellStyle name="Currency 3 2 7 5 2" xfId="15709"/>
    <cellStyle name="Currency 3 2 7 5 2 2" xfId="15710"/>
    <cellStyle name="Currency 3 2 7 5 3" xfId="15711"/>
    <cellStyle name="Currency 3 2 7 6" xfId="15712"/>
    <cellStyle name="Currency 3 2 7 6 2" xfId="15713"/>
    <cellStyle name="Currency 3 2 7 6 2 2" xfId="15714"/>
    <cellStyle name="Currency 3 2 7 6 3" xfId="15715"/>
    <cellStyle name="Currency 3 2 7 7" xfId="15716"/>
    <cellStyle name="Currency 3 2 7 7 2" xfId="15717"/>
    <cellStyle name="Currency 3 2 7 8" xfId="15718"/>
    <cellStyle name="Currency 3 2 7 8 2" xfId="36575"/>
    <cellStyle name="Currency 3 2 7 9" xfId="15719"/>
    <cellStyle name="Currency 3 2 8" xfId="15720"/>
    <cellStyle name="Currency 3 2 8 2" xfId="15721"/>
    <cellStyle name="Currency 3 2 8 2 2" xfId="15722"/>
    <cellStyle name="Currency 3 2 8 2 2 2" xfId="15723"/>
    <cellStyle name="Currency 3 2 8 2 2 2 2" xfId="15724"/>
    <cellStyle name="Currency 3 2 8 2 2 2 2 2" xfId="15725"/>
    <cellStyle name="Currency 3 2 8 2 2 2 2 3" xfId="15726"/>
    <cellStyle name="Currency 3 2 8 2 2 2 3" xfId="15727"/>
    <cellStyle name="Currency 3 2 8 2 2 2 3 2" xfId="15728"/>
    <cellStyle name="Currency 3 2 8 2 2 2 4" xfId="15729"/>
    <cellStyle name="Currency 3 2 8 2 2 3" xfId="15730"/>
    <cellStyle name="Currency 3 2 8 2 2 3 2" xfId="15731"/>
    <cellStyle name="Currency 3 2 8 2 2 3 2 2" xfId="15732"/>
    <cellStyle name="Currency 3 2 8 2 2 3 3" xfId="15733"/>
    <cellStyle name="Currency 3 2 8 2 2 4" xfId="15734"/>
    <cellStyle name="Currency 3 2 8 2 2 4 2" xfId="15735"/>
    <cellStyle name="Currency 3 2 8 2 2 4 3" xfId="15736"/>
    <cellStyle name="Currency 3 2 8 2 2 5" xfId="15737"/>
    <cellStyle name="Currency 3 2 8 2 2 5 2" xfId="15738"/>
    <cellStyle name="Currency 3 2 8 2 2 6" xfId="15739"/>
    <cellStyle name="Currency 3 2 8 2 2 6 2" xfId="36576"/>
    <cellStyle name="Currency 3 2 8 2 2 7" xfId="15740"/>
    <cellStyle name="Currency 3 2 8 2 3" xfId="15741"/>
    <cellStyle name="Currency 3 2 8 2 3 2" xfId="15742"/>
    <cellStyle name="Currency 3 2 8 2 3 2 2" xfId="15743"/>
    <cellStyle name="Currency 3 2 8 2 3 2 2 2" xfId="15744"/>
    <cellStyle name="Currency 3 2 8 2 3 2 3" xfId="15745"/>
    <cellStyle name="Currency 3 2 8 2 3 3" xfId="15746"/>
    <cellStyle name="Currency 3 2 8 2 3 3 2" xfId="15747"/>
    <cellStyle name="Currency 3 2 8 2 3 4" xfId="15748"/>
    <cellStyle name="Currency 3 2 8 2 4" xfId="15749"/>
    <cellStyle name="Currency 3 2 8 2 4 2" xfId="15750"/>
    <cellStyle name="Currency 3 2 8 2 4 2 2" xfId="15751"/>
    <cellStyle name="Currency 3 2 8 2 4 3" xfId="15752"/>
    <cellStyle name="Currency 3 2 8 2 5" xfId="15753"/>
    <cellStyle name="Currency 3 2 8 2 5 2" xfId="15754"/>
    <cellStyle name="Currency 3 2 8 2 5 2 2" xfId="15755"/>
    <cellStyle name="Currency 3 2 8 2 5 3" xfId="15756"/>
    <cellStyle name="Currency 3 2 8 2 6" xfId="15757"/>
    <cellStyle name="Currency 3 2 8 2 6 2" xfId="15758"/>
    <cellStyle name="Currency 3 2 8 2 7" xfId="15759"/>
    <cellStyle name="Currency 3 2 8 2 7 2" xfId="36577"/>
    <cellStyle name="Currency 3 2 8 2 8" xfId="15760"/>
    <cellStyle name="Currency 3 2 8 3" xfId="15761"/>
    <cellStyle name="Currency 3 2 8 3 2" xfId="15762"/>
    <cellStyle name="Currency 3 2 8 3 2 2" xfId="15763"/>
    <cellStyle name="Currency 3 2 8 3 2 2 2" xfId="15764"/>
    <cellStyle name="Currency 3 2 8 3 2 2 3" xfId="15765"/>
    <cellStyle name="Currency 3 2 8 3 2 3" xfId="15766"/>
    <cellStyle name="Currency 3 2 8 3 2 3 2" xfId="15767"/>
    <cellStyle name="Currency 3 2 8 3 2 4" xfId="15768"/>
    <cellStyle name="Currency 3 2 8 3 3" xfId="15769"/>
    <cellStyle name="Currency 3 2 8 3 3 2" xfId="15770"/>
    <cellStyle name="Currency 3 2 8 3 3 2 2" xfId="15771"/>
    <cellStyle name="Currency 3 2 8 3 3 3" xfId="15772"/>
    <cellStyle name="Currency 3 2 8 3 4" xfId="15773"/>
    <cellStyle name="Currency 3 2 8 3 4 2" xfId="15774"/>
    <cellStyle name="Currency 3 2 8 3 4 3" xfId="15775"/>
    <cellStyle name="Currency 3 2 8 3 5" xfId="15776"/>
    <cellStyle name="Currency 3 2 8 3 5 2" xfId="15777"/>
    <cellStyle name="Currency 3 2 8 3 6" xfId="15778"/>
    <cellStyle name="Currency 3 2 8 3 6 2" xfId="36578"/>
    <cellStyle name="Currency 3 2 8 3 7" xfId="15779"/>
    <cellStyle name="Currency 3 2 8 4" xfId="15780"/>
    <cellStyle name="Currency 3 2 8 4 2" xfId="15781"/>
    <cellStyle name="Currency 3 2 8 4 2 2" xfId="15782"/>
    <cellStyle name="Currency 3 2 8 4 2 2 2" xfId="15783"/>
    <cellStyle name="Currency 3 2 8 4 2 3" xfId="15784"/>
    <cellStyle name="Currency 3 2 8 4 3" xfId="15785"/>
    <cellStyle name="Currency 3 2 8 4 3 2" xfId="15786"/>
    <cellStyle name="Currency 3 2 8 4 4" xfId="15787"/>
    <cellStyle name="Currency 3 2 8 5" xfId="15788"/>
    <cellStyle name="Currency 3 2 8 5 2" xfId="15789"/>
    <cellStyle name="Currency 3 2 8 5 2 2" xfId="15790"/>
    <cellStyle name="Currency 3 2 8 5 3" xfId="15791"/>
    <cellStyle name="Currency 3 2 8 6" xfId="15792"/>
    <cellStyle name="Currency 3 2 8 6 2" xfId="15793"/>
    <cellStyle name="Currency 3 2 8 6 2 2" xfId="15794"/>
    <cellStyle name="Currency 3 2 8 6 3" xfId="15795"/>
    <cellStyle name="Currency 3 2 8 7" xfId="15796"/>
    <cellStyle name="Currency 3 2 8 7 2" xfId="15797"/>
    <cellStyle name="Currency 3 2 8 8" xfId="15798"/>
    <cellStyle name="Currency 3 2 8 8 2" xfId="36579"/>
    <cellStyle name="Currency 3 2 8 9" xfId="15799"/>
    <cellStyle name="Currency 3 2 9" xfId="15800"/>
    <cellStyle name="Currency 3 2 9 2" xfId="15801"/>
    <cellStyle name="Currency 3 2 9 2 2" xfId="15802"/>
    <cellStyle name="Currency 3 2 9 2 2 2" xfId="15803"/>
    <cellStyle name="Currency 3 2 9 2 2 2 2" xfId="15804"/>
    <cellStyle name="Currency 3 2 9 2 2 2 3" xfId="15805"/>
    <cellStyle name="Currency 3 2 9 2 2 3" xfId="15806"/>
    <cellStyle name="Currency 3 2 9 2 2 3 2" xfId="15807"/>
    <cellStyle name="Currency 3 2 9 2 2 4" xfId="15808"/>
    <cellStyle name="Currency 3 2 9 2 3" xfId="15809"/>
    <cellStyle name="Currency 3 2 9 2 3 2" xfId="15810"/>
    <cellStyle name="Currency 3 2 9 2 3 2 2" xfId="15811"/>
    <cellStyle name="Currency 3 2 9 2 3 3" xfId="15812"/>
    <cellStyle name="Currency 3 2 9 2 4" xfId="15813"/>
    <cellStyle name="Currency 3 2 9 2 4 2" xfId="15814"/>
    <cellStyle name="Currency 3 2 9 2 4 3" xfId="15815"/>
    <cellStyle name="Currency 3 2 9 2 5" xfId="15816"/>
    <cellStyle name="Currency 3 2 9 2 5 2" xfId="15817"/>
    <cellStyle name="Currency 3 2 9 2 6" xfId="15818"/>
    <cellStyle name="Currency 3 2 9 2 6 2" xfId="36580"/>
    <cellStyle name="Currency 3 2 9 2 7" xfId="15819"/>
    <cellStyle name="Currency 3 2 9 3" xfId="15820"/>
    <cellStyle name="Currency 3 2 9 3 2" xfId="15821"/>
    <cellStyle name="Currency 3 2 9 3 2 2" xfId="15822"/>
    <cellStyle name="Currency 3 2 9 3 2 2 2" xfId="15823"/>
    <cellStyle name="Currency 3 2 9 3 2 3" xfId="15824"/>
    <cellStyle name="Currency 3 2 9 3 3" xfId="15825"/>
    <cellStyle name="Currency 3 2 9 3 3 2" xfId="15826"/>
    <cellStyle name="Currency 3 2 9 3 4" xfId="15827"/>
    <cellStyle name="Currency 3 2 9 4" xfId="15828"/>
    <cellStyle name="Currency 3 2 9 4 2" xfId="15829"/>
    <cellStyle name="Currency 3 2 9 4 2 2" xfId="15830"/>
    <cellStyle name="Currency 3 2 9 4 3" xfId="15831"/>
    <cellStyle name="Currency 3 2 9 5" xfId="15832"/>
    <cellStyle name="Currency 3 2 9 5 2" xfId="15833"/>
    <cellStyle name="Currency 3 2 9 5 2 2" xfId="15834"/>
    <cellStyle name="Currency 3 2 9 5 3" xfId="15835"/>
    <cellStyle name="Currency 3 2 9 6" xfId="15836"/>
    <cellStyle name="Currency 3 2 9 6 2" xfId="15837"/>
    <cellStyle name="Currency 3 2 9 7" xfId="15838"/>
    <cellStyle name="Currency 3 2 9 7 2" xfId="36581"/>
    <cellStyle name="Currency 3 2 9 8" xfId="15839"/>
    <cellStyle name="Currency 3 20" xfId="35799"/>
    <cellStyle name="Currency 3 3" xfId="15840"/>
    <cellStyle name="Currency 3 3 10" xfId="15841"/>
    <cellStyle name="Currency 3 3 10 2" xfId="15842"/>
    <cellStyle name="Currency 3 3 10 2 2" xfId="15843"/>
    <cellStyle name="Currency 3 3 10 3" xfId="15844"/>
    <cellStyle name="Currency 3 3 11" xfId="15845"/>
    <cellStyle name="Currency 3 3 11 2" xfId="15846"/>
    <cellStyle name="Currency 3 3 11 2 2" xfId="15847"/>
    <cellStyle name="Currency 3 3 11 3" xfId="15848"/>
    <cellStyle name="Currency 3 3 12" xfId="15849"/>
    <cellStyle name="Currency 3 3 12 2" xfId="15850"/>
    <cellStyle name="Currency 3 3 13" xfId="15851"/>
    <cellStyle name="Currency 3 3 13 2" xfId="36582"/>
    <cellStyle name="Currency 3 3 14" xfId="15852"/>
    <cellStyle name="Currency 3 3 2" xfId="15853"/>
    <cellStyle name="Currency 3 3 2 10" xfId="15854"/>
    <cellStyle name="Currency 3 3 2 2" xfId="15855"/>
    <cellStyle name="Currency 3 3 2 2 2" xfId="15856"/>
    <cellStyle name="Currency 3 3 2 2 2 2" xfId="15857"/>
    <cellStyle name="Currency 3 3 2 2 2 2 2" xfId="15858"/>
    <cellStyle name="Currency 3 3 2 2 2 2 2 2" xfId="15859"/>
    <cellStyle name="Currency 3 3 2 2 2 2 2 2 2" xfId="15860"/>
    <cellStyle name="Currency 3 3 2 2 2 2 2 2 3" xfId="15861"/>
    <cellStyle name="Currency 3 3 2 2 2 2 2 3" xfId="15862"/>
    <cellStyle name="Currency 3 3 2 2 2 2 2 3 2" xfId="15863"/>
    <cellStyle name="Currency 3 3 2 2 2 2 2 4" xfId="15864"/>
    <cellStyle name="Currency 3 3 2 2 2 2 3" xfId="15865"/>
    <cellStyle name="Currency 3 3 2 2 2 2 3 2" xfId="15866"/>
    <cellStyle name="Currency 3 3 2 2 2 2 3 2 2" xfId="15867"/>
    <cellStyle name="Currency 3 3 2 2 2 2 3 3" xfId="15868"/>
    <cellStyle name="Currency 3 3 2 2 2 2 4" xfId="15869"/>
    <cellStyle name="Currency 3 3 2 2 2 2 4 2" xfId="15870"/>
    <cellStyle name="Currency 3 3 2 2 2 2 4 3" xfId="15871"/>
    <cellStyle name="Currency 3 3 2 2 2 2 5" xfId="15872"/>
    <cellStyle name="Currency 3 3 2 2 2 2 5 2" xfId="15873"/>
    <cellStyle name="Currency 3 3 2 2 2 2 6" xfId="15874"/>
    <cellStyle name="Currency 3 3 2 2 2 2 6 2" xfId="36583"/>
    <cellStyle name="Currency 3 3 2 2 2 2 7" xfId="15875"/>
    <cellStyle name="Currency 3 3 2 2 2 3" xfId="15876"/>
    <cellStyle name="Currency 3 3 2 2 2 3 2" xfId="15877"/>
    <cellStyle name="Currency 3 3 2 2 2 3 2 2" xfId="15878"/>
    <cellStyle name="Currency 3 3 2 2 2 3 2 2 2" xfId="15879"/>
    <cellStyle name="Currency 3 3 2 2 2 3 2 3" xfId="15880"/>
    <cellStyle name="Currency 3 3 2 2 2 3 3" xfId="15881"/>
    <cellStyle name="Currency 3 3 2 2 2 3 3 2" xfId="15882"/>
    <cellStyle name="Currency 3 3 2 2 2 3 4" xfId="15883"/>
    <cellStyle name="Currency 3 3 2 2 2 4" xfId="15884"/>
    <cellStyle name="Currency 3 3 2 2 2 4 2" xfId="15885"/>
    <cellStyle name="Currency 3 3 2 2 2 4 2 2" xfId="15886"/>
    <cellStyle name="Currency 3 3 2 2 2 4 3" xfId="15887"/>
    <cellStyle name="Currency 3 3 2 2 2 5" xfId="15888"/>
    <cellStyle name="Currency 3 3 2 2 2 5 2" xfId="15889"/>
    <cellStyle name="Currency 3 3 2 2 2 5 2 2" xfId="15890"/>
    <cellStyle name="Currency 3 3 2 2 2 5 3" xfId="15891"/>
    <cellStyle name="Currency 3 3 2 2 2 6" xfId="15892"/>
    <cellStyle name="Currency 3 3 2 2 2 6 2" xfId="15893"/>
    <cellStyle name="Currency 3 3 2 2 2 7" xfId="15894"/>
    <cellStyle name="Currency 3 3 2 2 2 7 2" xfId="36584"/>
    <cellStyle name="Currency 3 3 2 2 2 8" xfId="15895"/>
    <cellStyle name="Currency 3 3 2 2 3" xfId="15896"/>
    <cellStyle name="Currency 3 3 2 2 3 2" xfId="15897"/>
    <cellStyle name="Currency 3 3 2 2 3 2 2" xfId="15898"/>
    <cellStyle name="Currency 3 3 2 2 3 2 2 2" xfId="15899"/>
    <cellStyle name="Currency 3 3 2 2 3 2 2 3" xfId="15900"/>
    <cellStyle name="Currency 3 3 2 2 3 2 3" xfId="15901"/>
    <cellStyle name="Currency 3 3 2 2 3 2 3 2" xfId="15902"/>
    <cellStyle name="Currency 3 3 2 2 3 2 4" xfId="15903"/>
    <cellStyle name="Currency 3 3 2 2 3 3" xfId="15904"/>
    <cellStyle name="Currency 3 3 2 2 3 3 2" xfId="15905"/>
    <cellStyle name="Currency 3 3 2 2 3 3 2 2" xfId="15906"/>
    <cellStyle name="Currency 3 3 2 2 3 3 3" xfId="15907"/>
    <cellStyle name="Currency 3 3 2 2 3 4" xfId="15908"/>
    <cellStyle name="Currency 3 3 2 2 3 4 2" xfId="15909"/>
    <cellStyle name="Currency 3 3 2 2 3 4 3" xfId="15910"/>
    <cellStyle name="Currency 3 3 2 2 3 5" xfId="15911"/>
    <cellStyle name="Currency 3 3 2 2 3 5 2" xfId="15912"/>
    <cellStyle name="Currency 3 3 2 2 3 6" xfId="15913"/>
    <cellStyle name="Currency 3 3 2 2 3 6 2" xfId="36585"/>
    <cellStyle name="Currency 3 3 2 2 3 7" xfId="15914"/>
    <cellStyle name="Currency 3 3 2 2 4" xfId="15915"/>
    <cellStyle name="Currency 3 3 2 2 4 2" xfId="15916"/>
    <cellStyle name="Currency 3 3 2 2 4 2 2" xfId="15917"/>
    <cellStyle name="Currency 3 3 2 2 4 2 2 2" xfId="15918"/>
    <cellStyle name="Currency 3 3 2 2 4 2 3" xfId="15919"/>
    <cellStyle name="Currency 3 3 2 2 4 3" xfId="15920"/>
    <cellStyle name="Currency 3 3 2 2 4 3 2" xfId="15921"/>
    <cellStyle name="Currency 3 3 2 2 4 4" xfId="15922"/>
    <cellStyle name="Currency 3 3 2 2 5" xfId="15923"/>
    <cellStyle name="Currency 3 3 2 2 5 2" xfId="15924"/>
    <cellStyle name="Currency 3 3 2 2 5 2 2" xfId="15925"/>
    <cellStyle name="Currency 3 3 2 2 5 3" xfId="15926"/>
    <cellStyle name="Currency 3 3 2 2 6" xfId="15927"/>
    <cellStyle name="Currency 3 3 2 2 6 2" xfId="15928"/>
    <cellStyle name="Currency 3 3 2 2 6 2 2" xfId="15929"/>
    <cellStyle name="Currency 3 3 2 2 6 3" xfId="15930"/>
    <cellStyle name="Currency 3 3 2 2 7" xfId="15931"/>
    <cellStyle name="Currency 3 3 2 2 7 2" xfId="15932"/>
    <cellStyle name="Currency 3 3 2 2 8" xfId="15933"/>
    <cellStyle name="Currency 3 3 2 2 8 2" xfId="36586"/>
    <cellStyle name="Currency 3 3 2 2 9" xfId="15934"/>
    <cellStyle name="Currency 3 3 2 3" xfId="15935"/>
    <cellStyle name="Currency 3 3 2 3 2" xfId="15936"/>
    <cellStyle name="Currency 3 3 2 3 2 2" xfId="15937"/>
    <cellStyle name="Currency 3 3 2 3 2 2 2" xfId="15938"/>
    <cellStyle name="Currency 3 3 2 3 2 2 2 2" xfId="15939"/>
    <cellStyle name="Currency 3 3 2 3 2 2 2 3" xfId="15940"/>
    <cellStyle name="Currency 3 3 2 3 2 2 3" xfId="15941"/>
    <cellStyle name="Currency 3 3 2 3 2 2 3 2" xfId="15942"/>
    <cellStyle name="Currency 3 3 2 3 2 2 4" xfId="15943"/>
    <cellStyle name="Currency 3 3 2 3 2 3" xfId="15944"/>
    <cellStyle name="Currency 3 3 2 3 2 3 2" xfId="15945"/>
    <cellStyle name="Currency 3 3 2 3 2 3 2 2" xfId="15946"/>
    <cellStyle name="Currency 3 3 2 3 2 3 3" xfId="15947"/>
    <cellStyle name="Currency 3 3 2 3 2 4" xfId="15948"/>
    <cellStyle name="Currency 3 3 2 3 2 4 2" xfId="15949"/>
    <cellStyle name="Currency 3 3 2 3 2 4 3" xfId="15950"/>
    <cellStyle name="Currency 3 3 2 3 2 5" xfId="15951"/>
    <cellStyle name="Currency 3 3 2 3 2 5 2" xfId="15952"/>
    <cellStyle name="Currency 3 3 2 3 2 6" xfId="15953"/>
    <cellStyle name="Currency 3 3 2 3 2 6 2" xfId="36587"/>
    <cellStyle name="Currency 3 3 2 3 2 7" xfId="15954"/>
    <cellStyle name="Currency 3 3 2 3 3" xfId="15955"/>
    <cellStyle name="Currency 3 3 2 3 3 2" xfId="15956"/>
    <cellStyle name="Currency 3 3 2 3 3 2 2" xfId="15957"/>
    <cellStyle name="Currency 3 3 2 3 3 2 2 2" xfId="15958"/>
    <cellStyle name="Currency 3 3 2 3 3 2 3" xfId="15959"/>
    <cellStyle name="Currency 3 3 2 3 3 3" xfId="15960"/>
    <cellStyle name="Currency 3 3 2 3 3 3 2" xfId="15961"/>
    <cellStyle name="Currency 3 3 2 3 3 4" xfId="15962"/>
    <cellStyle name="Currency 3 3 2 3 4" xfId="15963"/>
    <cellStyle name="Currency 3 3 2 3 4 2" xfId="15964"/>
    <cellStyle name="Currency 3 3 2 3 4 2 2" xfId="15965"/>
    <cellStyle name="Currency 3 3 2 3 4 3" xfId="15966"/>
    <cellStyle name="Currency 3 3 2 3 5" xfId="15967"/>
    <cellStyle name="Currency 3 3 2 3 5 2" xfId="15968"/>
    <cellStyle name="Currency 3 3 2 3 5 2 2" xfId="15969"/>
    <cellStyle name="Currency 3 3 2 3 5 3" xfId="15970"/>
    <cellStyle name="Currency 3 3 2 3 6" xfId="15971"/>
    <cellStyle name="Currency 3 3 2 3 6 2" xfId="15972"/>
    <cellStyle name="Currency 3 3 2 3 7" xfId="15973"/>
    <cellStyle name="Currency 3 3 2 3 7 2" xfId="36588"/>
    <cellStyle name="Currency 3 3 2 3 8" xfId="15974"/>
    <cellStyle name="Currency 3 3 2 4" xfId="15975"/>
    <cellStyle name="Currency 3 3 2 4 2" xfId="15976"/>
    <cellStyle name="Currency 3 3 2 4 2 2" xfId="15977"/>
    <cellStyle name="Currency 3 3 2 4 2 2 2" xfId="15978"/>
    <cellStyle name="Currency 3 3 2 4 2 2 3" xfId="15979"/>
    <cellStyle name="Currency 3 3 2 4 2 3" xfId="15980"/>
    <cellStyle name="Currency 3 3 2 4 2 3 2" xfId="15981"/>
    <cellStyle name="Currency 3 3 2 4 2 4" xfId="15982"/>
    <cellStyle name="Currency 3 3 2 4 3" xfId="15983"/>
    <cellStyle name="Currency 3 3 2 4 3 2" xfId="15984"/>
    <cellStyle name="Currency 3 3 2 4 3 2 2" xfId="15985"/>
    <cellStyle name="Currency 3 3 2 4 3 3" xfId="15986"/>
    <cellStyle name="Currency 3 3 2 4 4" xfId="15987"/>
    <cellStyle name="Currency 3 3 2 4 4 2" xfId="15988"/>
    <cellStyle name="Currency 3 3 2 4 4 3" xfId="15989"/>
    <cellStyle name="Currency 3 3 2 4 5" xfId="15990"/>
    <cellStyle name="Currency 3 3 2 4 5 2" xfId="15991"/>
    <cellStyle name="Currency 3 3 2 4 6" xfId="15992"/>
    <cellStyle name="Currency 3 3 2 4 6 2" xfId="36589"/>
    <cellStyle name="Currency 3 3 2 4 7" xfId="15993"/>
    <cellStyle name="Currency 3 3 2 5" xfId="15994"/>
    <cellStyle name="Currency 3 3 2 5 2" xfId="15995"/>
    <cellStyle name="Currency 3 3 2 5 2 2" xfId="15996"/>
    <cellStyle name="Currency 3 3 2 5 2 2 2" xfId="15997"/>
    <cellStyle name="Currency 3 3 2 5 2 3" xfId="15998"/>
    <cellStyle name="Currency 3 3 2 5 3" xfId="15999"/>
    <cellStyle name="Currency 3 3 2 5 3 2" xfId="16000"/>
    <cellStyle name="Currency 3 3 2 5 4" xfId="16001"/>
    <cellStyle name="Currency 3 3 2 6" xfId="16002"/>
    <cellStyle name="Currency 3 3 2 6 2" xfId="16003"/>
    <cellStyle name="Currency 3 3 2 6 2 2" xfId="16004"/>
    <cellStyle name="Currency 3 3 2 6 3" xfId="16005"/>
    <cellStyle name="Currency 3 3 2 7" xfId="16006"/>
    <cellStyle name="Currency 3 3 2 7 2" xfId="16007"/>
    <cellStyle name="Currency 3 3 2 7 2 2" xfId="16008"/>
    <cellStyle name="Currency 3 3 2 7 3" xfId="16009"/>
    <cellStyle name="Currency 3 3 2 8" xfId="16010"/>
    <cellStyle name="Currency 3 3 2 8 2" xfId="16011"/>
    <cellStyle name="Currency 3 3 2 9" xfId="16012"/>
    <cellStyle name="Currency 3 3 2 9 2" xfId="36590"/>
    <cellStyle name="Currency 3 3 3" xfId="16013"/>
    <cellStyle name="Currency 3 3 3 2" xfId="16014"/>
    <cellStyle name="Currency 3 3 3 2 2" xfId="16015"/>
    <cellStyle name="Currency 3 3 3 2 2 2" xfId="16016"/>
    <cellStyle name="Currency 3 3 3 2 2 2 2" xfId="16017"/>
    <cellStyle name="Currency 3 3 3 2 2 2 2 2" xfId="16018"/>
    <cellStyle name="Currency 3 3 3 2 2 2 2 3" xfId="16019"/>
    <cellStyle name="Currency 3 3 3 2 2 2 3" xfId="16020"/>
    <cellStyle name="Currency 3 3 3 2 2 2 3 2" xfId="16021"/>
    <cellStyle name="Currency 3 3 3 2 2 2 4" xfId="16022"/>
    <cellStyle name="Currency 3 3 3 2 2 3" xfId="16023"/>
    <cellStyle name="Currency 3 3 3 2 2 3 2" xfId="16024"/>
    <cellStyle name="Currency 3 3 3 2 2 3 2 2" xfId="16025"/>
    <cellStyle name="Currency 3 3 3 2 2 3 3" xfId="16026"/>
    <cellStyle name="Currency 3 3 3 2 2 4" xfId="16027"/>
    <cellStyle name="Currency 3 3 3 2 2 4 2" xfId="16028"/>
    <cellStyle name="Currency 3 3 3 2 2 4 3" xfId="16029"/>
    <cellStyle name="Currency 3 3 3 2 2 5" xfId="16030"/>
    <cellStyle name="Currency 3 3 3 2 2 5 2" xfId="16031"/>
    <cellStyle name="Currency 3 3 3 2 2 6" xfId="16032"/>
    <cellStyle name="Currency 3 3 3 2 2 6 2" xfId="36591"/>
    <cellStyle name="Currency 3 3 3 2 2 7" xfId="16033"/>
    <cellStyle name="Currency 3 3 3 2 3" xfId="16034"/>
    <cellStyle name="Currency 3 3 3 2 3 2" xfId="16035"/>
    <cellStyle name="Currency 3 3 3 2 3 2 2" xfId="16036"/>
    <cellStyle name="Currency 3 3 3 2 3 2 2 2" xfId="16037"/>
    <cellStyle name="Currency 3 3 3 2 3 2 3" xfId="16038"/>
    <cellStyle name="Currency 3 3 3 2 3 3" xfId="16039"/>
    <cellStyle name="Currency 3 3 3 2 3 3 2" xfId="16040"/>
    <cellStyle name="Currency 3 3 3 2 3 4" xfId="16041"/>
    <cellStyle name="Currency 3 3 3 2 4" xfId="16042"/>
    <cellStyle name="Currency 3 3 3 2 4 2" xfId="16043"/>
    <cellStyle name="Currency 3 3 3 2 4 2 2" xfId="16044"/>
    <cellStyle name="Currency 3 3 3 2 4 3" xfId="16045"/>
    <cellStyle name="Currency 3 3 3 2 5" xfId="16046"/>
    <cellStyle name="Currency 3 3 3 2 5 2" xfId="16047"/>
    <cellStyle name="Currency 3 3 3 2 5 2 2" xfId="16048"/>
    <cellStyle name="Currency 3 3 3 2 5 3" xfId="16049"/>
    <cellStyle name="Currency 3 3 3 2 6" xfId="16050"/>
    <cellStyle name="Currency 3 3 3 2 6 2" xfId="16051"/>
    <cellStyle name="Currency 3 3 3 2 7" xfId="16052"/>
    <cellStyle name="Currency 3 3 3 2 7 2" xfId="36592"/>
    <cellStyle name="Currency 3 3 3 2 8" xfId="16053"/>
    <cellStyle name="Currency 3 3 3 3" xfId="16054"/>
    <cellStyle name="Currency 3 3 3 3 2" xfId="16055"/>
    <cellStyle name="Currency 3 3 3 3 2 2" xfId="16056"/>
    <cellStyle name="Currency 3 3 3 3 2 2 2" xfId="16057"/>
    <cellStyle name="Currency 3 3 3 3 2 2 3" xfId="16058"/>
    <cellStyle name="Currency 3 3 3 3 2 3" xfId="16059"/>
    <cellStyle name="Currency 3 3 3 3 2 3 2" xfId="16060"/>
    <cellStyle name="Currency 3 3 3 3 2 4" xfId="16061"/>
    <cellStyle name="Currency 3 3 3 3 3" xfId="16062"/>
    <cellStyle name="Currency 3 3 3 3 3 2" xfId="16063"/>
    <cellStyle name="Currency 3 3 3 3 3 2 2" xfId="16064"/>
    <cellStyle name="Currency 3 3 3 3 3 3" xfId="16065"/>
    <cellStyle name="Currency 3 3 3 3 4" xfId="16066"/>
    <cellStyle name="Currency 3 3 3 3 4 2" xfId="16067"/>
    <cellStyle name="Currency 3 3 3 3 4 3" xfId="16068"/>
    <cellStyle name="Currency 3 3 3 3 5" xfId="16069"/>
    <cellStyle name="Currency 3 3 3 3 5 2" xfId="16070"/>
    <cellStyle name="Currency 3 3 3 3 6" xfId="16071"/>
    <cellStyle name="Currency 3 3 3 3 6 2" xfId="36593"/>
    <cellStyle name="Currency 3 3 3 3 7" xfId="16072"/>
    <cellStyle name="Currency 3 3 3 4" xfId="16073"/>
    <cellStyle name="Currency 3 3 3 4 2" xfId="16074"/>
    <cellStyle name="Currency 3 3 3 4 2 2" xfId="16075"/>
    <cellStyle name="Currency 3 3 3 4 2 2 2" xfId="16076"/>
    <cellStyle name="Currency 3 3 3 4 2 3" xfId="16077"/>
    <cellStyle name="Currency 3 3 3 4 3" xfId="16078"/>
    <cellStyle name="Currency 3 3 3 4 3 2" xfId="16079"/>
    <cellStyle name="Currency 3 3 3 4 4" xfId="16080"/>
    <cellStyle name="Currency 3 3 3 5" xfId="16081"/>
    <cellStyle name="Currency 3 3 3 5 2" xfId="16082"/>
    <cellStyle name="Currency 3 3 3 5 2 2" xfId="16083"/>
    <cellStyle name="Currency 3 3 3 5 3" xfId="16084"/>
    <cellStyle name="Currency 3 3 3 6" xfId="16085"/>
    <cellStyle name="Currency 3 3 3 6 2" xfId="16086"/>
    <cellStyle name="Currency 3 3 3 6 2 2" xfId="16087"/>
    <cellStyle name="Currency 3 3 3 6 3" xfId="16088"/>
    <cellStyle name="Currency 3 3 3 7" xfId="16089"/>
    <cellStyle name="Currency 3 3 3 7 2" xfId="16090"/>
    <cellStyle name="Currency 3 3 3 8" xfId="16091"/>
    <cellStyle name="Currency 3 3 3 8 2" xfId="36594"/>
    <cellStyle name="Currency 3 3 3 9" xfId="16092"/>
    <cellStyle name="Currency 3 3 4" xfId="16093"/>
    <cellStyle name="Currency 3 3 4 2" xfId="16094"/>
    <cellStyle name="Currency 3 3 4 2 2" xfId="16095"/>
    <cellStyle name="Currency 3 3 4 2 2 2" xfId="16096"/>
    <cellStyle name="Currency 3 3 4 2 2 2 2" xfId="16097"/>
    <cellStyle name="Currency 3 3 4 2 2 2 2 2" xfId="16098"/>
    <cellStyle name="Currency 3 3 4 2 2 2 2 3" xfId="16099"/>
    <cellStyle name="Currency 3 3 4 2 2 2 3" xfId="16100"/>
    <cellStyle name="Currency 3 3 4 2 2 2 3 2" xfId="16101"/>
    <cellStyle name="Currency 3 3 4 2 2 2 4" xfId="16102"/>
    <cellStyle name="Currency 3 3 4 2 2 3" xfId="16103"/>
    <cellStyle name="Currency 3 3 4 2 2 3 2" xfId="16104"/>
    <cellStyle name="Currency 3 3 4 2 2 3 2 2" xfId="16105"/>
    <cellStyle name="Currency 3 3 4 2 2 3 3" xfId="16106"/>
    <cellStyle name="Currency 3 3 4 2 2 4" xfId="16107"/>
    <cellStyle name="Currency 3 3 4 2 2 4 2" xfId="16108"/>
    <cellStyle name="Currency 3 3 4 2 2 4 3" xfId="16109"/>
    <cellStyle name="Currency 3 3 4 2 2 5" xfId="16110"/>
    <cellStyle name="Currency 3 3 4 2 2 5 2" xfId="16111"/>
    <cellStyle name="Currency 3 3 4 2 2 6" xfId="16112"/>
    <cellStyle name="Currency 3 3 4 2 2 6 2" xfId="36595"/>
    <cellStyle name="Currency 3 3 4 2 2 7" xfId="16113"/>
    <cellStyle name="Currency 3 3 4 2 3" xfId="16114"/>
    <cellStyle name="Currency 3 3 4 2 3 2" xfId="16115"/>
    <cellStyle name="Currency 3 3 4 2 3 2 2" xfId="16116"/>
    <cellStyle name="Currency 3 3 4 2 3 2 2 2" xfId="16117"/>
    <cellStyle name="Currency 3 3 4 2 3 2 3" xfId="16118"/>
    <cellStyle name="Currency 3 3 4 2 3 3" xfId="16119"/>
    <cellStyle name="Currency 3 3 4 2 3 3 2" xfId="16120"/>
    <cellStyle name="Currency 3 3 4 2 3 4" xfId="16121"/>
    <cellStyle name="Currency 3 3 4 2 4" xfId="16122"/>
    <cellStyle name="Currency 3 3 4 2 4 2" xfId="16123"/>
    <cellStyle name="Currency 3 3 4 2 4 2 2" xfId="16124"/>
    <cellStyle name="Currency 3 3 4 2 4 3" xfId="16125"/>
    <cellStyle name="Currency 3 3 4 2 5" xfId="16126"/>
    <cellStyle name="Currency 3 3 4 2 5 2" xfId="16127"/>
    <cellStyle name="Currency 3 3 4 2 5 2 2" xfId="16128"/>
    <cellStyle name="Currency 3 3 4 2 5 3" xfId="16129"/>
    <cellStyle name="Currency 3 3 4 2 6" xfId="16130"/>
    <cellStyle name="Currency 3 3 4 2 6 2" xfId="16131"/>
    <cellStyle name="Currency 3 3 4 2 7" xfId="16132"/>
    <cellStyle name="Currency 3 3 4 2 7 2" xfId="36596"/>
    <cellStyle name="Currency 3 3 4 2 8" xfId="16133"/>
    <cellStyle name="Currency 3 3 4 3" xfId="16134"/>
    <cellStyle name="Currency 3 3 4 3 2" xfId="16135"/>
    <cellStyle name="Currency 3 3 4 3 2 2" xfId="16136"/>
    <cellStyle name="Currency 3 3 4 3 2 2 2" xfId="16137"/>
    <cellStyle name="Currency 3 3 4 3 2 2 3" xfId="16138"/>
    <cellStyle name="Currency 3 3 4 3 2 3" xfId="16139"/>
    <cellStyle name="Currency 3 3 4 3 2 3 2" xfId="16140"/>
    <cellStyle name="Currency 3 3 4 3 2 4" xfId="16141"/>
    <cellStyle name="Currency 3 3 4 3 3" xfId="16142"/>
    <cellStyle name="Currency 3 3 4 3 3 2" xfId="16143"/>
    <cellStyle name="Currency 3 3 4 3 3 2 2" xfId="16144"/>
    <cellStyle name="Currency 3 3 4 3 3 3" xfId="16145"/>
    <cellStyle name="Currency 3 3 4 3 4" xfId="16146"/>
    <cellStyle name="Currency 3 3 4 3 4 2" xfId="16147"/>
    <cellStyle name="Currency 3 3 4 3 4 3" xfId="16148"/>
    <cellStyle name="Currency 3 3 4 3 5" xfId="16149"/>
    <cellStyle name="Currency 3 3 4 3 5 2" xfId="16150"/>
    <cellStyle name="Currency 3 3 4 3 6" xfId="16151"/>
    <cellStyle name="Currency 3 3 4 3 6 2" xfId="36597"/>
    <cellStyle name="Currency 3 3 4 3 7" xfId="16152"/>
    <cellStyle name="Currency 3 3 4 4" xfId="16153"/>
    <cellStyle name="Currency 3 3 4 4 2" xfId="16154"/>
    <cellStyle name="Currency 3 3 4 4 2 2" xfId="16155"/>
    <cellStyle name="Currency 3 3 4 4 2 2 2" xfId="16156"/>
    <cellStyle name="Currency 3 3 4 4 2 3" xfId="16157"/>
    <cellStyle name="Currency 3 3 4 4 3" xfId="16158"/>
    <cellStyle name="Currency 3 3 4 4 3 2" xfId="16159"/>
    <cellStyle name="Currency 3 3 4 4 4" xfId="16160"/>
    <cellStyle name="Currency 3 3 4 5" xfId="16161"/>
    <cellStyle name="Currency 3 3 4 5 2" xfId="16162"/>
    <cellStyle name="Currency 3 3 4 5 2 2" xfId="16163"/>
    <cellStyle name="Currency 3 3 4 5 3" xfId="16164"/>
    <cellStyle name="Currency 3 3 4 6" xfId="16165"/>
    <cellStyle name="Currency 3 3 4 6 2" xfId="16166"/>
    <cellStyle name="Currency 3 3 4 6 2 2" xfId="16167"/>
    <cellStyle name="Currency 3 3 4 6 3" xfId="16168"/>
    <cellStyle name="Currency 3 3 4 7" xfId="16169"/>
    <cellStyle name="Currency 3 3 4 7 2" xfId="16170"/>
    <cellStyle name="Currency 3 3 4 8" xfId="16171"/>
    <cellStyle name="Currency 3 3 4 8 2" xfId="36598"/>
    <cellStyle name="Currency 3 3 4 9" xfId="16172"/>
    <cellStyle name="Currency 3 3 5" xfId="16173"/>
    <cellStyle name="Currency 3 3 5 2" xfId="16174"/>
    <cellStyle name="Currency 3 3 5 2 2" xfId="16175"/>
    <cellStyle name="Currency 3 3 5 2 2 2" xfId="16176"/>
    <cellStyle name="Currency 3 3 5 2 2 2 2" xfId="16177"/>
    <cellStyle name="Currency 3 3 5 2 2 2 3" xfId="16178"/>
    <cellStyle name="Currency 3 3 5 2 2 3" xfId="16179"/>
    <cellStyle name="Currency 3 3 5 2 2 3 2" xfId="16180"/>
    <cellStyle name="Currency 3 3 5 2 2 4" xfId="16181"/>
    <cellStyle name="Currency 3 3 5 2 3" xfId="16182"/>
    <cellStyle name="Currency 3 3 5 2 3 2" xfId="16183"/>
    <cellStyle name="Currency 3 3 5 2 3 2 2" xfId="16184"/>
    <cellStyle name="Currency 3 3 5 2 3 3" xfId="16185"/>
    <cellStyle name="Currency 3 3 5 2 4" xfId="16186"/>
    <cellStyle name="Currency 3 3 5 2 4 2" xfId="16187"/>
    <cellStyle name="Currency 3 3 5 2 4 3" xfId="16188"/>
    <cellStyle name="Currency 3 3 5 2 5" xfId="16189"/>
    <cellStyle name="Currency 3 3 5 2 5 2" xfId="16190"/>
    <cellStyle name="Currency 3 3 5 2 6" xfId="16191"/>
    <cellStyle name="Currency 3 3 5 2 6 2" xfId="36599"/>
    <cellStyle name="Currency 3 3 5 2 7" xfId="16192"/>
    <cellStyle name="Currency 3 3 5 3" xfId="16193"/>
    <cellStyle name="Currency 3 3 5 3 2" xfId="16194"/>
    <cellStyle name="Currency 3 3 5 3 2 2" xfId="16195"/>
    <cellStyle name="Currency 3 3 5 3 2 2 2" xfId="16196"/>
    <cellStyle name="Currency 3 3 5 3 2 3" xfId="16197"/>
    <cellStyle name="Currency 3 3 5 3 3" xfId="16198"/>
    <cellStyle name="Currency 3 3 5 3 3 2" xfId="16199"/>
    <cellStyle name="Currency 3 3 5 3 4" xfId="16200"/>
    <cellStyle name="Currency 3 3 5 4" xfId="16201"/>
    <cellStyle name="Currency 3 3 5 4 2" xfId="16202"/>
    <cellStyle name="Currency 3 3 5 4 2 2" xfId="16203"/>
    <cellStyle name="Currency 3 3 5 4 3" xfId="16204"/>
    <cellStyle name="Currency 3 3 5 5" xfId="16205"/>
    <cellStyle name="Currency 3 3 5 5 2" xfId="16206"/>
    <cellStyle name="Currency 3 3 5 5 2 2" xfId="16207"/>
    <cellStyle name="Currency 3 3 5 5 3" xfId="16208"/>
    <cellStyle name="Currency 3 3 5 6" xfId="16209"/>
    <cellStyle name="Currency 3 3 5 6 2" xfId="16210"/>
    <cellStyle name="Currency 3 3 5 7" xfId="16211"/>
    <cellStyle name="Currency 3 3 5 7 2" xfId="36600"/>
    <cellStyle name="Currency 3 3 5 8" xfId="16212"/>
    <cellStyle name="Currency 3 3 6" xfId="16213"/>
    <cellStyle name="Currency 3 3 6 2" xfId="16214"/>
    <cellStyle name="Currency 3 3 6 2 2" xfId="16215"/>
    <cellStyle name="Currency 3 3 6 2 2 2" xfId="16216"/>
    <cellStyle name="Currency 3 3 6 2 2 2 2" xfId="16217"/>
    <cellStyle name="Currency 3 3 6 2 2 2 3" xfId="16218"/>
    <cellStyle name="Currency 3 3 6 2 2 3" xfId="16219"/>
    <cellStyle name="Currency 3 3 6 2 2 3 2" xfId="16220"/>
    <cellStyle name="Currency 3 3 6 2 2 4" xfId="16221"/>
    <cellStyle name="Currency 3 3 6 2 3" xfId="16222"/>
    <cellStyle name="Currency 3 3 6 2 3 2" xfId="16223"/>
    <cellStyle name="Currency 3 3 6 2 3 2 2" xfId="16224"/>
    <cellStyle name="Currency 3 3 6 2 3 3" xfId="16225"/>
    <cellStyle name="Currency 3 3 6 2 4" xfId="16226"/>
    <cellStyle name="Currency 3 3 6 2 4 2" xfId="16227"/>
    <cellStyle name="Currency 3 3 6 2 4 3" xfId="16228"/>
    <cellStyle name="Currency 3 3 6 2 5" xfId="16229"/>
    <cellStyle name="Currency 3 3 6 2 5 2" xfId="16230"/>
    <cellStyle name="Currency 3 3 6 2 6" xfId="16231"/>
    <cellStyle name="Currency 3 3 6 2 6 2" xfId="36601"/>
    <cellStyle name="Currency 3 3 6 2 7" xfId="16232"/>
    <cellStyle name="Currency 3 3 6 3" xfId="16233"/>
    <cellStyle name="Currency 3 3 6 3 2" xfId="16234"/>
    <cellStyle name="Currency 3 3 6 3 2 2" xfId="16235"/>
    <cellStyle name="Currency 3 3 6 3 2 2 2" xfId="16236"/>
    <cellStyle name="Currency 3 3 6 3 2 3" xfId="16237"/>
    <cellStyle name="Currency 3 3 6 3 3" xfId="16238"/>
    <cellStyle name="Currency 3 3 6 3 3 2" xfId="16239"/>
    <cellStyle name="Currency 3 3 6 3 4" xfId="16240"/>
    <cellStyle name="Currency 3 3 6 4" xfId="16241"/>
    <cellStyle name="Currency 3 3 6 4 2" xfId="16242"/>
    <cellStyle name="Currency 3 3 6 4 2 2" xfId="16243"/>
    <cellStyle name="Currency 3 3 6 4 3" xfId="16244"/>
    <cellStyle name="Currency 3 3 6 5" xfId="16245"/>
    <cellStyle name="Currency 3 3 6 5 2" xfId="16246"/>
    <cellStyle name="Currency 3 3 6 5 2 2" xfId="16247"/>
    <cellStyle name="Currency 3 3 6 5 3" xfId="16248"/>
    <cellStyle name="Currency 3 3 6 6" xfId="16249"/>
    <cellStyle name="Currency 3 3 6 6 2" xfId="16250"/>
    <cellStyle name="Currency 3 3 6 7" xfId="16251"/>
    <cellStyle name="Currency 3 3 6 7 2" xfId="36602"/>
    <cellStyle name="Currency 3 3 6 8" xfId="16252"/>
    <cellStyle name="Currency 3 3 7" xfId="16253"/>
    <cellStyle name="Currency 3 3 7 2" xfId="16254"/>
    <cellStyle name="Currency 3 3 7 2 2" xfId="16255"/>
    <cellStyle name="Currency 3 3 7 2 2 2" xfId="16256"/>
    <cellStyle name="Currency 3 3 7 2 2 2 2" xfId="16257"/>
    <cellStyle name="Currency 3 3 7 2 2 2 3" xfId="16258"/>
    <cellStyle name="Currency 3 3 7 2 2 3" xfId="16259"/>
    <cellStyle name="Currency 3 3 7 2 2 3 2" xfId="16260"/>
    <cellStyle name="Currency 3 3 7 2 2 4" xfId="16261"/>
    <cellStyle name="Currency 3 3 7 2 3" xfId="16262"/>
    <cellStyle name="Currency 3 3 7 2 3 2" xfId="16263"/>
    <cellStyle name="Currency 3 3 7 2 3 2 2" xfId="16264"/>
    <cellStyle name="Currency 3 3 7 2 3 3" xfId="16265"/>
    <cellStyle name="Currency 3 3 7 2 4" xfId="16266"/>
    <cellStyle name="Currency 3 3 7 2 4 2" xfId="16267"/>
    <cellStyle name="Currency 3 3 7 2 4 3" xfId="16268"/>
    <cellStyle name="Currency 3 3 7 2 5" xfId="16269"/>
    <cellStyle name="Currency 3 3 7 2 5 2" xfId="16270"/>
    <cellStyle name="Currency 3 3 7 2 6" xfId="16271"/>
    <cellStyle name="Currency 3 3 7 2 6 2" xfId="36603"/>
    <cellStyle name="Currency 3 3 7 2 7" xfId="16272"/>
    <cellStyle name="Currency 3 3 7 3" xfId="16273"/>
    <cellStyle name="Currency 3 3 7 3 2" xfId="16274"/>
    <cellStyle name="Currency 3 3 7 3 2 2" xfId="16275"/>
    <cellStyle name="Currency 3 3 7 3 2 2 2" xfId="16276"/>
    <cellStyle name="Currency 3 3 7 3 2 3" xfId="16277"/>
    <cellStyle name="Currency 3 3 7 3 3" xfId="16278"/>
    <cellStyle name="Currency 3 3 7 3 3 2" xfId="16279"/>
    <cellStyle name="Currency 3 3 7 3 4" xfId="16280"/>
    <cellStyle name="Currency 3 3 7 4" xfId="16281"/>
    <cellStyle name="Currency 3 3 7 4 2" xfId="16282"/>
    <cellStyle name="Currency 3 3 7 4 2 2" xfId="16283"/>
    <cellStyle name="Currency 3 3 7 4 3" xfId="16284"/>
    <cellStyle name="Currency 3 3 7 5" xfId="16285"/>
    <cellStyle name="Currency 3 3 7 5 2" xfId="16286"/>
    <cellStyle name="Currency 3 3 7 5 2 2" xfId="16287"/>
    <cellStyle name="Currency 3 3 7 5 3" xfId="16288"/>
    <cellStyle name="Currency 3 3 7 6" xfId="16289"/>
    <cellStyle name="Currency 3 3 7 6 2" xfId="16290"/>
    <cellStyle name="Currency 3 3 7 7" xfId="16291"/>
    <cellStyle name="Currency 3 3 7 7 2" xfId="36604"/>
    <cellStyle name="Currency 3 3 7 8" xfId="16292"/>
    <cellStyle name="Currency 3 3 8" xfId="16293"/>
    <cellStyle name="Currency 3 3 8 2" xfId="16294"/>
    <cellStyle name="Currency 3 3 8 2 2" xfId="16295"/>
    <cellStyle name="Currency 3 3 8 2 2 2" xfId="16296"/>
    <cellStyle name="Currency 3 3 8 2 2 3" xfId="16297"/>
    <cellStyle name="Currency 3 3 8 2 3" xfId="16298"/>
    <cellStyle name="Currency 3 3 8 2 3 2" xfId="16299"/>
    <cellStyle name="Currency 3 3 8 2 4" xfId="16300"/>
    <cellStyle name="Currency 3 3 8 3" xfId="16301"/>
    <cellStyle name="Currency 3 3 8 3 2" xfId="16302"/>
    <cellStyle name="Currency 3 3 8 3 2 2" xfId="16303"/>
    <cellStyle name="Currency 3 3 8 3 3" xfId="16304"/>
    <cellStyle name="Currency 3 3 8 4" xfId="16305"/>
    <cellStyle name="Currency 3 3 8 4 2" xfId="16306"/>
    <cellStyle name="Currency 3 3 8 4 3" xfId="16307"/>
    <cellStyle name="Currency 3 3 8 5" xfId="16308"/>
    <cellStyle name="Currency 3 3 8 5 2" xfId="16309"/>
    <cellStyle name="Currency 3 3 8 6" xfId="16310"/>
    <cellStyle name="Currency 3 3 8 6 2" xfId="36605"/>
    <cellStyle name="Currency 3 3 8 7" xfId="16311"/>
    <cellStyle name="Currency 3 3 9" xfId="16312"/>
    <cellStyle name="Currency 3 3 9 2" xfId="16313"/>
    <cellStyle name="Currency 3 3 9 2 2" xfId="16314"/>
    <cellStyle name="Currency 3 3 9 2 2 2" xfId="16315"/>
    <cellStyle name="Currency 3 3 9 2 3" xfId="16316"/>
    <cellStyle name="Currency 3 3 9 3" xfId="16317"/>
    <cellStyle name="Currency 3 3 9 3 2" xfId="16318"/>
    <cellStyle name="Currency 3 3 9 4" xfId="16319"/>
    <cellStyle name="Currency 3 4" xfId="16320"/>
    <cellStyle name="Currency 3 4 10" xfId="16321"/>
    <cellStyle name="Currency 3 4 10 2" xfId="16322"/>
    <cellStyle name="Currency 3 4 10 2 2" xfId="16323"/>
    <cellStyle name="Currency 3 4 10 3" xfId="16324"/>
    <cellStyle name="Currency 3 4 11" xfId="16325"/>
    <cellStyle name="Currency 3 4 11 2" xfId="16326"/>
    <cellStyle name="Currency 3 4 11 2 2" xfId="16327"/>
    <cellStyle name="Currency 3 4 11 3" xfId="16328"/>
    <cellStyle name="Currency 3 4 12" xfId="16329"/>
    <cellStyle name="Currency 3 4 12 2" xfId="16330"/>
    <cellStyle name="Currency 3 4 13" xfId="16331"/>
    <cellStyle name="Currency 3 4 13 2" xfId="36606"/>
    <cellStyle name="Currency 3 4 14" xfId="16332"/>
    <cellStyle name="Currency 3 4 2" xfId="16333"/>
    <cellStyle name="Currency 3 4 2 10" xfId="16334"/>
    <cellStyle name="Currency 3 4 2 2" xfId="16335"/>
    <cellStyle name="Currency 3 4 2 2 2" xfId="16336"/>
    <cellStyle name="Currency 3 4 2 2 2 2" xfId="16337"/>
    <cellStyle name="Currency 3 4 2 2 2 2 2" xfId="16338"/>
    <cellStyle name="Currency 3 4 2 2 2 2 2 2" xfId="16339"/>
    <cellStyle name="Currency 3 4 2 2 2 2 2 2 2" xfId="16340"/>
    <cellStyle name="Currency 3 4 2 2 2 2 2 2 3" xfId="16341"/>
    <cellStyle name="Currency 3 4 2 2 2 2 2 3" xfId="16342"/>
    <cellStyle name="Currency 3 4 2 2 2 2 2 3 2" xfId="16343"/>
    <cellStyle name="Currency 3 4 2 2 2 2 2 4" xfId="16344"/>
    <cellStyle name="Currency 3 4 2 2 2 2 3" xfId="16345"/>
    <cellStyle name="Currency 3 4 2 2 2 2 3 2" xfId="16346"/>
    <cellStyle name="Currency 3 4 2 2 2 2 3 2 2" xfId="16347"/>
    <cellStyle name="Currency 3 4 2 2 2 2 3 3" xfId="16348"/>
    <cellStyle name="Currency 3 4 2 2 2 2 4" xfId="16349"/>
    <cellStyle name="Currency 3 4 2 2 2 2 4 2" xfId="16350"/>
    <cellStyle name="Currency 3 4 2 2 2 2 4 3" xfId="16351"/>
    <cellStyle name="Currency 3 4 2 2 2 2 5" xfId="16352"/>
    <cellStyle name="Currency 3 4 2 2 2 2 5 2" xfId="16353"/>
    <cellStyle name="Currency 3 4 2 2 2 2 6" xfId="16354"/>
    <cellStyle name="Currency 3 4 2 2 2 2 6 2" xfId="36607"/>
    <cellStyle name="Currency 3 4 2 2 2 2 7" xfId="16355"/>
    <cellStyle name="Currency 3 4 2 2 2 3" xfId="16356"/>
    <cellStyle name="Currency 3 4 2 2 2 3 2" xfId="16357"/>
    <cellStyle name="Currency 3 4 2 2 2 3 2 2" xfId="16358"/>
    <cellStyle name="Currency 3 4 2 2 2 3 2 2 2" xfId="16359"/>
    <cellStyle name="Currency 3 4 2 2 2 3 2 3" xfId="16360"/>
    <cellStyle name="Currency 3 4 2 2 2 3 3" xfId="16361"/>
    <cellStyle name="Currency 3 4 2 2 2 3 3 2" xfId="16362"/>
    <cellStyle name="Currency 3 4 2 2 2 3 4" xfId="16363"/>
    <cellStyle name="Currency 3 4 2 2 2 4" xfId="16364"/>
    <cellStyle name="Currency 3 4 2 2 2 4 2" xfId="16365"/>
    <cellStyle name="Currency 3 4 2 2 2 4 2 2" xfId="16366"/>
    <cellStyle name="Currency 3 4 2 2 2 4 3" xfId="16367"/>
    <cellStyle name="Currency 3 4 2 2 2 5" xfId="16368"/>
    <cellStyle name="Currency 3 4 2 2 2 5 2" xfId="16369"/>
    <cellStyle name="Currency 3 4 2 2 2 5 2 2" xfId="16370"/>
    <cellStyle name="Currency 3 4 2 2 2 5 3" xfId="16371"/>
    <cellStyle name="Currency 3 4 2 2 2 6" xfId="16372"/>
    <cellStyle name="Currency 3 4 2 2 2 6 2" xfId="16373"/>
    <cellStyle name="Currency 3 4 2 2 2 7" xfId="16374"/>
    <cellStyle name="Currency 3 4 2 2 2 7 2" xfId="36608"/>
    <cellStyle name="Currency 3 4 2 2 2 8" xfId="16375"/>
    <cellStyle name="Currency 3 4 2 2 3" xfId="16376"/>
    <cellStyle name="Currency 3 4 2 2 3 2" xfId="16377"/>
    <cellStyle name="Currency 3 4 2 2 3 2 2" xfId="16378"/>
    <cellStyle name="Currency 3 4 2 2 3 2 2 2" xfId="16379"/>
    <cellStyle name="Currency 3 4 2 2 3 2 2 3" xfId="16380"/>
    <cellStyle name="Currency 3 4 2 2 3 2 3" xfId="16381"/>
    <cellStyle name="Currency 3 4 2 2 3 2 3 2" xfId="16382"/>
    <cellStyle name="Currency 3 4 2 2 3 2 4" xfId="16383"/>
    <cellStyle name="Currency 3 4 2 2 3 3" xfId="16384"/>
    <cellStyle name="Currency 3 4 2 2 3 3 2" xfId="16385"/>
    <cellStyle name="Currency 3 4 2 2 3 3 2 2" xfId="16386"/>
    <cellStyle name="Currency 3 4 2 2 3 3 3" xfId="16387"/>
    <cellStyle name="Currency 3 4 2 2 3 4" xfId="16388"/>
    <cellStyle name="Currency 3 4 2 2 3 4 2" xfId="16389"/>
    <cellStyle name="Currency 3 4 2 2 3 4 3" xfId="16390"/>
    <cellStyle name="Currency 3 4 2 2 3 5" xfId="16391"/>
    <cellStyle name="Currency 3 4 2 2 3 5 2" xfId="16392"/>
    <cellStyle name="Currency 3 4 2 2 3 6" xfId="16393"/>
    <cellStyle name="Currency 3 4 2 2 3 6 2" xfId="36609"/>
    <cellStyle name="Currency 3 4 2 2 3 7" xfId="16394"/>
    <cellStyle name="Currency 3 4 2 2 4" xfId="16395"/>
    <cellStyle name="Currency 3 4 2 2 4 2" xfId="16396"/>
    <cellStyle name="Currency 3 4 2 2 4 2 2" xfId="16397"/>
    <cellStyle name="Currency 3 4 2 2 4 2 2 2" xfId="16398"/>
    <cellStyle name="Currency 3 4 2 2 4 2 3" xfId="16399"/>
    <cellStyle name="Currency 3 4 2 2 4 3" xfId="16400"/>
    <cellStyle name="Currency 3 4 2 2 4 3 2" xfId="16401"/>
    <cellStyle name="Currency 3 4 2 2 4 4" xfId="16402"/>
    <cellStyle name="Currency 3 4 2 2 5" xfId="16403"/>
    <cellStyle name="Currency 3 4 2 2 5 2" xfId="16404"/>
    <cellStyle name="Currency 3 4 2 2 5 2 2" xfId="16405"/>
    <cellStyle name="Currency 3 4 2 2 5 3" xfId="16406"/>
    <cellStyle name="Currency 3 4 2 2 6" xfId="16407"/>
    <cellStyle name="Currency 3 4 2 2 6 2" xfId="16408"/>
    <cellStyle name="Currency 3 4 2 2 6 2 2" xfId="16409"/>
    <cellStyle name="Currency 3 4 2 2 6 3" xfId="16410"/>
    <cellStyle name="Currency 3 4 2 2 7" xfId="16411"/>
    <cellStyle name="Currency 3 4 2 2 7 2" xfId="16412"/>
    <cellStyle name="Currency 3 4 2 2 8" xfId="16413"/>
    <cellStyle name="Currency 3 4 2 2 8 2" xfId="36610"/>
    <cellStyle name="Currency 3 4 2 2 9" xfId="16414"/>
    <cellStyle name="Currency 3 4 2 3" xfId="16415"/>
    <cellStyle name="Currency 3 4 2 3 2" xfId="16416"/>
    <cellStyle name="Currency 3 4 2 3 2 2" xfId="16417"/>
    <cellStyle name="Currency 3 4 2 3 2 2 2" xfId="16418"/>
    <cellStyle name="Currency 3 4 2 3 2 2 2 2" xfId="16419"/>
    <cellStyle name="Currency 3 4 2 3 2 2 2 3" xfId="16420"/>
    <cellStyle name="Currency 3 4 2 3 2 2 3" xfId="16421"/>
    <cellStyle name="Currency 3 4 2 3 2 2 3 2" xfId="16422"/>
    <cellStyle name="Currency 3 4 2 3 2 2 4" xfId="16423"/>
    <cellStyle name="Currency 3 4 2 3 2 3" xfId="16424"/>
    <cellStyle name="Currency 3 4 2 3 2 3 2" xfId="16425"/>
    <cellStyle name="Currency 3 4 2 3 2 3 2 2" xfId="16426"/>
    <cellStyle name="Currency 3 4 2 3 2 3 3" xfId="16427"/>
    <cellStyle name="Currency 3 4 2 3 2 4" xfId="16428"/>
    <cellStyle name="Currency 3 4 2 3 2 4 2" xfId="16429"/>
    <cellStyle name="Currency 3 4 2 3 2 4 3" xfId="16430"/>
    <cellStyle name="Currency 3 4 2 3 2 5" xfId="16431"/>
    <cellStyle name="Currency 3 4 2 3 2 5 2" xfId="16432"/>
    <cellStyle name="Currency 3 4 2 3 2 6" xfId="16433"/>
    <cellStyle name="Currency 3 4 2 3 2 6 2" xfId="36611"/>
    <cellStyle name="Currency 3 4 2 3 2 7" xfId="16434"/>
    <cellStyle name="Currency 3 4 2 3 3" xfId="16435"/>
    <cellStyle name="Currency 3 4 2 3 3 2" xfId="16436"/>
    <cellStyle name="Currency 3 4 2 3 3 2 2" xfId="16437"/>
    <cellStyle name="Currency 3 4 2 3 3 2 2 2" xfId="16438"/>
    <cellStyle name="Currency 3 4 2 3 3 2 3" xfId="16439"/>
    <cellStyle name="Currency 3 4 2 3 3 3" xfId="16440"/>
    <cellStyle name="Currency 3 4 2 3 3 3 2" xfId="16441"/>
    <cellStyle name="Currency 3 4 2 3 3 4" xfId="16442"/>
    <cellStyle name="Currency 3 4 2 3 4" xfId="16443"/>
    <cellStyle name="Currency 3 4 2 3 4 2" xfId="16444"/>
    <cellStyle name="Currency 3 4 2 3 4 2 2" xfId="16445"/>
    <cellStyle name="Currency 3 4 2 3 4 3" xfId="16446"/>
    <cellStyle name="Currency 3 4 2 3 5" xfId="16447"/>
    <cellStyle name="Currency 3 4 2 3 5 2" xfId="16448"/>
    <cellStyle name="Currency 3 4 2 3 5 2 2" xfId="16449"/>
    <cellStyle name="Currency 3 4 2 3 5 3" xfId="16450"/>
    <cellStyle name="Currency 3 4 2 3 6" xfId="16451"/>
    <cellStyle name="Currency 3 4 2 3 6 2" xfId="16452"/>
    <cellStyle name="Currency 3 4 2 3 7" xfId="16453"/>
    <cellStyle name="Currency 3 4 2 3 7 2" xfId="36612"/>
    <cellStyle name="Currency 3 4 2 3 8" xfId="16454"/>
    <cellStyle name="Currency 3 4 2 4" xfId="16455"/>
    <cellStyle name="Currency 3 4 2 4 2" xfId="16456"/>
    <cellStyle name="Currency 3 4 2 4 2 2" xfId="16457"/>
    <cellStyle name="Currency 3 4 2 4 2 2 2" xfId="16458"/>
    <cellStyle name="Currency 3 4 2 4 2 2 3" xfId="16459"/>
    <cellStyle name="Currency 3 4 2 4 2 3" xfId="16460"/>
    <cellStyle name="Currency 3 4 2 4 2 3 2" xfId="16461"/>
    <cellStyle name="Currency 3 4 2 4 2 4" xfId="16462"/>
    <cellStyle name="Currency 3 4 2 4 3" xfId="16463"/>
    <cellStyle name="Currency 3 4 2 4 3 2" xfId="16464"/>
    <cellStyle name="Currency 3 4 2 4 3 2 2" xfId="16465"/>
    <cellStyle name="Currency 3 4 2 4 3 3" xfId="16466"/>
    <cellStyle name="Currency 3 4 2 4 4" xfId="16467"/>
    <cellStyle name="Currency 3 4 2 4 4 2" xfId="16468"/>
    <cellStyle name="Currency 3 4 2 4 4 3" xfId="16469"/>
    <cellStyle name="Currency 3 4 2 4 5" xfId="16470"/>
    <cellStyle name="Currency 3 4 2 4 5 2" xfId="16471"/>
    <cellStyle name="Currency 3 4 2 4 6" xfId="16472"/>
    <cellStyle name="Currency 3 4 2 4 6 2" xfId="36613"/>
    <cellStyle name="Currency 3 4 2 4 7" xfId="16473"/>
    <cellStyle name="Currency 3 4 2 5" xfId="16474"/>
    <cellStyle name="Currency 3 4 2 5 2" xfId="16475"/>
    <cellStyle name="Currency 3 4 2 5 2 2" xfId="16476"/>
    <cellStyle name="Currency 3 4 2 5 2 2 2" xfId="16477"/>
    <cellStyle name="Currency 3 4 2 5 2 3" xfId="16478"/>
    <cellStyle name="Currency 3 4 2 5 3" xfId="16479"/>
    <cellStyle name="Currency 3 4 2 5 3 2" xfId="16480"/>
    <cellStyle name="Currency 3 4 2 5 4" xfId="16481"/>
    <cellStyle name="Currency 3 4 2 6" xfId="16482"/>
    <cellStyle name="Currency 3 4 2 6 2" xfId="16483"/>
    <cellStyle name="Currency 3 4 2 6 2 2" xfId="16484"/>
    <cellStyle name="Currency 3 4 2 6 3" xfId="16485"/>
    <cellStyle name="Currency 3 4 2 7" xfId="16486"/>
    <cellStyle name="Currency 3 4 2 7 2" xfId="16487"/>
    <cellStyle name="Currency 3 4 2 7 2 2" xfId="16488"/>
    <cellStyle name="Currency 3 4 2 7 3" xfId="16489"/>
    <cellStyle name="Currency 3 4 2 8" xfId="16490"/>
    <cellStyle name="Currency 3 4 2 8 2" xfId="16491"/>
    <cellStyle name="Currency 3 4 2 9" xfId="16492"/>
    <cellStyle name="Currency 3 4 2 9 2" xfId="36614"/>
    <cellStyle name="Currency 3 4 3" xfId="16493"/>
    <cellStyle name="Currency 3 4 3 2" xfId="16494"/>
    <cellStyle name="Currency 3 4 3 2 2" xfId="16495"/>
    <cellStyle name="Currency 3 4 3 2 2 2" xfId="16496"/>
    <cellStyle name="Currency 3 4 3 2 2 2 2" xfId="16497"/>
    <cellStyle name="Currency 3 4 3 2 2 2 2 2" xfId="16498"/>
    <cellStyle name="Currency 3 4 3 2 2 2 2 3" xfId="16499"/>
    <cellStyle name="Currency 3 4 3 2 2 2 3" xfId="16500"/>
    <cellStyle name="Currency 3 4 3 2 2 2 3 2" xfId="16501"/>
    <cellStyle name="Currency 3 4 3 2 2 2 4" xfId="16502"/>
    <cellStyle name="Currency 3 4 3 2 2 3" xfId="16503"/>
    <cellStyle name="Currency 3 4 3 2 2 3 2" xfId="16504"/>
    <cellStyle name="Currency 3 4 3 2 2 3 2 2" xfId="16505"/>
    <cellStyle name="Currency 3 4 3 2 2 3 3" xfId="16506"/>
    <cellStyle name="Currency 3 4 3 2 2 4" xfId="16507"/>
    <cellStyle name="Currency 3 4 3 2 2 4 2" xfId="16508"/>
    <cellStyle name="Currency 3 4 3 2 2 4 3" xfId="16509"/>
    <cellStyle name="Currency 3 4 3 2 2 5" xfId="16510"/>
    <cellStyle name="Currency 3 4 3 2 2 5 2" xfId="16511"/>
    <cellStyle name="Currency 3 4 3 2 2 6" xfId="16512"/>
    <cellStyle name="Currency 3 4 3 2 2 6 2" xfId="36615"/>
    <cellStyle name="Currency 3 4 3 2 2 7" xfId="16513"/>
    <cellStyle name="Currency 3 4 3 2 3" xfId="16514"/>
    <cellStyle name="Currency 3 4 3 2 3 2" xfId="16515"/>
    <cellStyle name="Currency 3 4 3 2 3 2 2" xfId="16516"/>
    <cellStyle name="Currency 3 4 3 2 3 2 2 2" xfId="16517"/>
    <cellStyle name="Currency 3 4 3 2 3 2 3" xfId="16518"/>
    <cellStyle name="Currency 3 4 3 2 3 3" xfId="16519"/>
    <cellStyle name="Currency 3 4 3 2 3 3 2" xfId="16520"/>
    <cellStyle name="Currency 3 4 3 2 3 4" xfId="16521"/>
    <cellStyle name="Currency 3 4 3 2 4" xfId="16522"/>
    <cellStyle name="Currency 3 4 3 2 4 2" xfId="16523"/>
    <cellStyle name="Currency 3 4 3 2 4 2 2" xfId="16524"/>
    <cellStyle name="Currency 3 4 3 2 4 3" xfId="16525"/>
    <cellStyle name="Currency 3 4 3 2 5" xfId="16526"/>
    <cellStyle name="Currency 3 4 3 2 5 2" xfId="16527"/>
    <cellStyle name="Currency 3 4 3 2 5 2 2" xfId="16528"/>
    <cellStyle name="Currency 3 4 3 2 5 3" xfId="16529"/>
    <cellStyle name="Currency 3 4 3 2 6" xfId="16530"/>
    <cellStyle name="Currency 3 4 3 2 6 2" xfId="16531"/>
    <cellStyle name="Currency 3 4 3 2 7" xfId="16532"/>
    <cellStyle name="Currency 3 4 3 2 7 2" xfId="36616"/>
    <cellStyle name="Currency 3 4 3 2 8" xfId="16533"/>
    <cellStyle name="Currency 3 4 3 3" xfId="16534"/>
    <cellStyle name="Currency 3 4 3 3 2" xfId="16535"/>
    <cellStyle name="Currency 3 4 3 3 2 2" xfId="16536"/>
    <cellStyle name="Currency 3 4 3 3 2 2 2" xfId="16537"/>
    <cellStyle name="Currency 3 4 3 3 2 2 3" xfId="16538"/>
    <cellStyle name="Currency 3 4 3 3 2 3" xfId="16539"/>
    <cellStyle name="Currency 3 4 3 3 2 3 2" xfId="16540"/>
    <cellStyle name="Currency 3 4 3 3 2 4" xfId="16541"/>
    <cellStyle name="Currency 3 4 3 3 3" xfId="16542"/>
    <cellStyle name="Currency 3 4 3 3 3 2" xfId="16543"/>
    <cellStyle name="Currency 3 4 3 3 3 2 2" xfId="16544"/>
    <cellStyle name="Currency 3 4 3 3 3 3" xfId="16545"/>
    <cellStyle name="Currency 3 4 3 3 4" xfId="16546"/>
    <cellStyle name="Currency 3 4 3 3 4 2" xfId="16547"/>
    <cellStyle name="Currency 3 4 3 3 4 3" xfId="16548"/>
    <cellStyle name="Currency 3 4 3 3 5" xfId="16549"/>
    <cellStyle name="Currency 3 4 3 3 5 2" xfId="16550"/>
    <cellStyle name="Currency 3 4 3 3 6" xfId="16551"/>
    <cellStyle name="Currency 3 4 3 3 6 2" xfId="36617"/>
    <cellStyle name="Currency 3 4 3 3 7" xfId="16552"/>
    <cellStyle name="Currency 3 4 3 4" xfId="16553"/>
    <cellStyle name="Currency 3 4 3 4 2" xfId="16554"/>
    <cellStyle name="Currency 3 4 3 4 2 2" xfId="16555"/>
    <cellStyle name="Currency 3 4 3 4 2 2 2" xfId="16556"/>
    <cellStyle name="Currency 3 4 3 4 2 3" xfId="16557"/>
    <cellStyle name="Currency 3 4 3 4 3" xfId="16558"/>
    <cellStyle name="Currency 3 4 3 4 3 2" xfId="16559"/>
    <cellStyle name="Currency 3 4 3 4 4" xfId="16560"/>
    <cellStyle name="Currency 3 4 3 5" xfId="16561"/>
    <cellStyle name="Currency 3 4 3 5 2" xfId="16562"/>
    <cellStyle name="Currency 3 4 3 5 2 2" xfId="16563"/>
    <cellStyle name="Currency 3 4 3 5 3" xfId="16564"/>
    <cellStyle name="Currency 3 4 3 6" xfId="16565"/>
    <cellStyle name="Currency 3 4 3 6 2" xfId="16566"/>
    <cellStyle name="Currency 3 4 3 6 2 2" xfId="16567"/>
    <cellStyle name="Currency 3 4 3 6 3" xfId="16568"/>
    <cellStyle name="Currency 3 4 3 7" xfId="16569"/>
    <cellStyle name="Currency 3 4 3 7 2" xfId="16570"/>
    <cellStyle name="Currency 3 4 3 8" xfId="16571"/>
    <cellStyle name="Currency 3 4 3 8 2" xfId="36618"/>
    <cellStyle name="Currency 3 4 3 9" xfId="16572"/>
    <cellStyle name="Currency 3 4 4" xfId="16573"/>
    <cellStyle name="Currency 3 4 4 2" xfId="16574"/>
    <cellStyle name="Currency 3 4 4 2 2" xfId="16575"/>
    <cellStyle name="Currency 3 4 4 2 2 2" xfId="16576"/>
    <cellStyle name="Currency 3 4 4 2 2 2 2" xfId="16577"/>
    <cellStyle name="Currency 3 4 4 2 2 2 2 2" xfId="16578"/>
    <cellStyle name="Currency 3 4 4 2 2 2 2 3" xfId="16579"/>
    <cellStyle name="Currency 3 4 4 2 2 2 3" xfId="16580"/>
    <cellStyle name="Currency 3 4 4 2 2 2 3 2" xfId="16581"/>
    <cellStyle name="Currency 3 4 4 2 2 2 4" xfId="16582"/>
    <cellStyle name="Currency 3 4 4 2 2 3" xfId="16583"/>
    <cellStyle name="Currency 3 4 4 2 2 3 2" xfId="16584"/>
    <cellStyle name="Currency 3 4 4 2 2 3 2 2" xfId="16585"/>
    <cellStyle name="Currency 3 4 4 2 2 3 3" xfId="16586"/>
    <cellStyle name="Currency 3 4 4 2 2 4" xfId="16587"/>
    <cellStyle name="Currency 3 4 4 2 2 4 2" xfId="16588"/>
    <cellStyle name="Currency 3 4 4 2 2 4 3" xfId="16589"/>
    <cellStyle name="Currency 3 4 4 2 2 5" xfId="16590"/>
    <cellStyle name="Currency 3 4 4 2 2 5 2" xfId="16591"/>
    <cellStyle name="Currency 3 4 4 2 2 6" xfId="16592"/>
    <cellStyle name="Currency 3 4 4 2 2 6 2" xfId="36619"/>
    <cellStyle name="Currency 3 4 4 2 2 7" xfId="16593"/>
    <cellStyle name="Currency 3 4 4 2 3" xfId="16594"/>
    <cellStyle name="Currency 3 4 4 2 3 2" xfId="16595"/>
    <cellStyle name="Currency 3 4 4 2 3 2 2" xfId="16596"/>
    <cellStyle name="Currency 3 4 4 2 3 2 2 2" xfId="16597"/>
    <cellStyle name="Currency 3 4 4 2 3 2 3" xfId="16598"/>
    <cellStyle name="Currency 3 4 4 2 3 3" xfId="16599"/>
    <cellStyle name="Currency 3 4 4 2 3 3 2" xfId="16600"/>
    <cellStyle name="Currency 3 4 4 2 3 4" xfId="16601"/>
    <cellStyle name="Currency 3 4 4 2 4" xfId="16602"/>
    <cellStyle name="Currency 3 4 4 2 4 2" xfId="16603"/>
    <cellStyle name="Currency 3 4 4 2 4 2 2" xfId="16604"/>
    <cellStyle name="Currency 3 4 4 2 4 3" xfId="16605"/>
    <cellStyle name="Currency 3 4 4 2 5" xfId="16606"/>
    <cellStyle name="Currency 3 4 4 2 5 2" xfId="16607"/>
    <cellStyle name="Currency 3 4 4 2 5 2 2" xfId="16608"/>
    <cellStyle name="Currency 3 4 4 2 5 3" xfId="16609"/>
    <cellStyle name="Currency 3 4 4 2 6" xfId="16610"/>
    <cellStyle name="Currency 3 4 4 2 6 2" xfId="16611"/>
    <cellStyle name="Currency 3 4 4 2 7" xfId="16612"/>
    <cellStyle name="Currency 3 4 4 2 7 2" xfId="36620"/>
    <cellStyle name="Currency 3 4 4 2 8" xfId="16613"/>
    <cellStyle name="Currency 3 4 4 3" xfId="16614"/>
    <cellStyle name="Currency 3 4 4 3 2" xfId="16615"/>
    <cellStyle name="Currency 3 4 4 3 2 2" xfId="16616"/>
    <cellStyle name="Currency 3 4 4 3 2 2 2" xfId="16617"/>
    <cellStyle name="Currency 3 4 4 3 2 2 3" xfId="16618"/>
    <cellStyle name="Currency 3 4 4 3 2 3" xfId="16619"/>
    <cellStyle name="Currency 3 4 4 3 2 3 2" xfId="16620"/>
    <cellStyle name="Currency 3 4 4 3 2 4" xfId="16621"/>
    <cellStyle name="Currency 3 4 4 3 3" xfId="16622"/>
    <cellStyle name="Currency 3 4 4 3 3 2" xfId="16623"/>
    <cellStyle name="Currency 3 4 4 3 3 2 2" xfId="16624"/>
    <cellStyle name="Currency 3 4 4 3 3 3" xfId="16625"/>
    <cellStyle name="Currency 3 4 4 3 4" xfId="16626"/>
    <cellStyle name="Currency 3 4 4 3 4 2" xfId="16627"/>
    <cellStyle name="Currency 3 4 4 3 4 3" xfId="16628"/>
    <cellStyle name="Currency 3 4 4 3 5" xfId="16629"/>
    <cellStyle name="Currency 3 4 4 3 5 2" xfId="16630"/>
    <cellStyle name="Currency 3 4 4 3 6" xfId="16631"/>
    <cellStyle name="Currency 3 4 4 3 6 2" xfId="36621"/>
    <cellStyle name="Currency 3 4 4 3 7" xfId="16632"/>
    <cellStyle name="Currency 3 4 4 4" xfId="16633"/>
    <cellStyle name="Currency 3 4 4 4 2" xfId="16634"/>
    <cellStyle name="Currency 3 4 4 4 2 2" xfId="16635"/>
    <cellStyle name="Currency 3 4 4 4 2 2 2" xfId="16636"/>
    <cellStyle name="Currency 3 4 4 4 2 3" xfId="16637"/>
    <cellStyle name="Currency 3 4 4 4 3" xfId="16638"/>
    <cellStyle name="Currency 3 4 4 4 3 2" xfId="16639"/>
    <cellStyle name="Currency 3 4 4 4 4" xfId="16640"/>
    <cellStyle name="Currency 3 4 4 5" xfId="16641"/>
    <cellStyle name="Currency 3 4 4 5 2" xfId="16642"/>
    <cellStyle name="Currency 3 4 4 5 2 2" xfId="16643"/>
    <cellStyle name="Currency 3 4 4 5 3" xfId="16644"/>
    <cellStyle name="Currency 3 4 4 6" xfId="16645"/>
    <cellStyle name="Currency 3 4 4 6 2" xfId="16646"/>
    <cellStyle name="Currency 3 4 4 6 2 2" xfId="16647"/>
    <cellStyle name="Currency 3 4 4 6 3" xfId="16648"/>
    <cellStyle name="Currency 3 4 4 7" xfId="16649"/>
    <cellStyle name="Currency 3 4 4 7 2" xfId="16650"/>
    <cellStyle name="Currency 3 4 4 8" xfId="16651"/>
    <cellStyle name="Currency 3 4 4 8 2" xfId="36622"/>
    <cellStyle name="Currency 3 4 4 9" xfId="16652"/>
    <cellStyle name="Currency 3 4 5" xfId="16653"/>
    <cellStyle name="Currency 3 4 5 2" xfId="16654"/>
    <cellStyle name="Currency 3 4 5 2 2" xfId="16655"/>
    <cellStyle name="Currency 3 4 5 2 2 2" xfId="16656"/>
    <cellStyle name="Currency 3 4 5 2 2 2 2" xfId="16657"/>
    <cellStyle name="Currency 3 4 5 2 2 2 3" xfId="16658"/>
    <cellStyle name="Currency 3 4 5 2 2 3" xfId="16659"/>
    <cellStyle name="Currency 3 4 5 2 2 3 2" xfId="16660"/>
    <cellStyle name="Currency 3 4 5 2 2 4" xfId="16661"/>
    <cellStyle name="Currency 3 4 5 2 3" xfId="16662"/>
    <cellStyle name="Currency 3 4 5 2 3 2" xfId="16663"/>
    <cellStyle name="Currency 3 4 5 2 3 2 2" xfId="16664"/>
    <cellStyle name="Currency 3 4 5 2 3 3" xfId="16665"/>
    <cellStyle name="Currency 3 4 5 2 4" xfId="16666"/>
    <cellStyle name="Currency 3 4 5 2 4 2" xfId="16667"/>
    <cellStyle name="Currency 3 4 5 2 4 3" xfId="16668"/>
    <cellStyle name="Currency 3 4 5 2 5" xfId="16669"/>
    <cellStyle name="Currency 3 4 5 2 5 2" xfId="16670"/>
    <cellStyle name="Currency 3 4 5 2 6" xfId="16671"/>
    <cellStyle name="Currency 3 4 5 2 6 2" xfId="36623"/>
    <cellStyle name="Currency 3 4 5 2 7" xfId="16672"/>
    <cellStyle name="Currency 3 4 5 3" xfId="16673"/>
    <cellStyle name="Currency 3 4 5 3 2" xfId="16674"/>
    <cellStyle name="Currency 3 4 5 3 2 2" xfId="16675"/>
    <cellStyle name="Currency 3 4 5 3 2 2 2" xfId="16676"/>
    <cellStyle name="Currency 3 4 5 3 2 3" xfId="16677"/>
    <cellStyle name="Currency 3 4 5 3 3" xfId="16678"/>
    <cellStyle name="Currency 3 4 5 3 3 2" xfId="16679"/>
    <cellStyle name="Currency 3 4 5 3 4" xfId="16680"/>
    <cellStyle name="Currency 3 4 5 4" xfId="16681"/>
    <cellStyle name="Currency 3 4 5 4 2" xfId="16682"/>
    <cellStyle name="Currency 3 4 5 4 2 2" xfId="16683"/>
    <cellStyle name="Currency 3 4 5 4 3" xfId="16684"/>
    <cellStyle name="Currency 3 4 5 5" xfId="16685"/>
    <cellStyle name="Currency 3 4 5 5 2" xfId="16686"/>
    <cellStyle name="Currency 3 4 5 5 2 2" xfId="16687"/>
    <cellStyle name="Currency 3 4 5 5 3" xfId="16688"/>
    <cellStyle name="Currency 3 4 5 6" xfId="16689"/>
    <cellStyle name="Currency 3 4 5 6 2" xfId="16690"/>
    <cellStyle name="Currency 3 4 5 7" xfId="16691"/>
    <cellStyle name="Currency 3 4 5 7 2" xfId="36624"/>
    <cellStyle name="Currency 3 4 5 8" xfId="16692"/>
    <cellStyle name="Currency 3 4 6" xfId="16693"/>
    <cellStyle name="Currency 3 4 6 2" xfId="16694"/>
    <cellStyle name="Currency 3 4 6 2 2" xfId="16695"/>
    <cellStyle name="Currency 3 4 6 2 2 2" xfId="16696"/>
    <cellStyle name="Currency 3 4 6 2 2 2 2" xfId="16697"/>
    <cellStyle name="Currency 3 4 6 2 2 2 3" xfId="16698"/>
    <cellStyle name="Currency 3 4 6 2 2 3" xfId="16699"/>
    <cellStyle name="Currency 3 4 6 2 2 3 2" xfId="16700"/>
    <cellStyle name="Currency 3 4 6 2 2 4" xfId="16701"/>
    <cellStyle name="Currency 3 4 6 2 3" xfId="16702"/>
    <cellStyle name="Currency 3 4 6 2 3 2" xfId="16703"/>
    <cellStyle name="Currency 3 4 6 2 3 2 2" xfId="16704"/>
    <cellStyle name="Currency 3 4 6 2 3 3" xfId="16705"/>
    <cellStyle name="Currency 3 4 6 2 4" xfId="16706"/>
    <cellStyle name="Currency 3 4 6 2 4 2" xfId="16707"/>
    <cellStyle name="Currency 3 4 6 2 4 3" xfId="16708"/>
    <cellStyle name="Currency 3 4 6 2 5" xfId="16709"/>
    <cellStyle name="Currency 3 4 6 2 5 2" xfId="16710"/>
    <cellStyle name="Currency 3 4 6 2 6" xfId="16711"/>
    <cellStyle name="Currency 3 4 6 2 6 2" xfId="36625"/>
    <cellStyle name="Currency 3 4 6 2 7" xfId="16712"/>
    <cellStyle name="Currency 3 4 6 3" xfId="16713"/>
    <cellStyle name="Currency 3 4 6 3 2" xfId="16714"/>
    <cellStyle name="Currency 3 4 6 3 2 2" xfId="16715"/>
    <cellStyle name="Currency 3 4 6 3 2 2 2" xfId="16716"/>
    <cellStyle name="Currency 3 4 6 3 2 3" xfId="16717"/>
    <cellStyle name="Currency 3 4 6 3 3" xfId="16718"/>
    <cellStyle name="Currency 3 4 6 3 3 2" xfId="16719"/>
    <cellStyle name="Currency 3 4 6 3 4" xfId="16720"/>
    <cellStyle name="Currency 3 4 6 4" xfId="16721"/>
    <cellStyle name="Currency 3 4 6 4 2" xfId="16722"/>
    <cellStyle name="Currency 3 4 6 4 2 2" xfId="16723"/>
    <cellStyle name="Currency 3 4 6 4 3" xfId="16724"/>
    <cellStyle name="Currency 3 4 6 5" xfId="16725"/>
    <cellStyle name="Currency 3 4 6 5 2" xfId="16726"/>
    <cellStyle name="Currency 3 4 6 5 2 2" xfId="16727"/>
    <cellStyle name="Currency 3 4 6 5 3" xfId="16728"/>
    <cellStyle name="Currency 3 4 6 6" xfId="16729"/>
    <cellStyle name="Currency 3 4 6 6 2" xfId="16730"/>
    <cellStyle name="Currency 3 4 6 7" xfId="16731"/>
    <cellStyle name="Currency 3 4 6 7 2" xfId="36626"/>
    <cellStyle name="Currency 3 4 6 8" xfId="16732"/>
    <cellStyle name="Currency 3 4 7" xfId="16733"/>
    <cellStyle name="Currency 3 4 7 2" xfId="16734"/>
    <cellStyle name="Currency 3 4 7 2 2" xfId="16735"/>
    <cellStyle name="Currency 3 4 7 2 2 2" xfId="16736"/>
    <cellStyle name="Currency 3 4 7 2 2 2 2" xfId="16737"/>
    <cellStyle name="Currency 3 4 7 2 2 2 3" xfId="16738"/>
    <cellStyle name="Currency 3 4 7 2 2 3" xfId="16739"/>
    <cellStyle name="Currency 3 4 7 2 2 3 2" xfId="16740"/>
    <cellStyle name="Currency 3 4 7 2 2 4" xfId="16741"/>
    <cellStyle name="Currency 3 4 7 2 3" xfId="16742"/>
    <cellStyle name="Currency 3 4 7 2 3 2" xfId="16743"/>
    <cellStyle name="Currency 3 4 7 2 3 2 2" xfId="16744"/>
    <cellStyle name="Currency 3 4 7 2 3 3" xfId="16745"/>
    <cellStyle name="Currency 3 4 7 2 4" xfId="16746"/>
    <cellStyle name="Currency 3 4 7 2 4 2" xfId="16747"/>
    <cellStyle name="Currency 3 4 7 2 4 3" xfId="16748"/>
    <cellStyle name="Currency 3 4 7 2 5" xfId="16749"/>
    <cellStyle name="Currency 3 4 7 2 5 2" xfId="16750"/>
    <cellStyle name="Currency 3 4 7 2 6" xfId="16751"/>
    <cellStyle name="Currency 3 4 7 2 6 2" xfId="36627"/>
    <cellStyle name="Currency 3 4 7 2 7" xfId="16752"/>
    <cellStyle name="Currency 3 4 7 3" xfId="16753"/>
    <cellStyle name="Currency 3 4 7 3 2" xfId="16754"/>
    <cellStyle name="Currency 3 4 7 3 2 2" xfId="16755"/>
    <cellStyle name="Currency 3 4 7 3 2 2 2" xfId="16756"/>
    <cellStyle name="Currency 3 4 7 3 2 3" xfId="16757"/>
    <cellStyle name="Currency 3 4 7 3 3" xfId="16758"/>
    <cellStyle name="Currency 3 4 7 3 3 2" xfId="16759"/>
    <cellStyle name="Currency 3 4 7 3 4" xfId="16760"/>
    <cellStyle name="Currency 3 4 7 4" xfId="16761"/>
    <cellStyle name="Currency 3 4 7 4 2" xfId="16762"/>
    <cellStyle name="Currency 3 4 7 4 2 2" xfId="16763"/>
    <cellStyle name="Currency 3 4 7 4 3" xfId="16764"/>
    <cellStyle name="Currency 3 4 7 5" xfId="16765"/>
    <cellStyle name="Currency 3 4 7 5 2" xfId="16766"/>
    <cellStyle name="Currency 3 4 7 5 2 2" xfId="16767"/>
    <cellStyle name="Currency 3 4 7 5 3" xfId="16768"/>
    <cellStyle name="Currency 3 4 7 6" xfId="16769"/>
    <cellStyle name="Currency 3 4 7 6 2" xfId="16770"/>
    <cellStyle name="Currency 3 4 7 7" xfId="16771"/>
    <cellStyle name="Currency 3 4 7 7 2" xfId="36628"/>
    <cellStyle name="Currency 3 4 7 8" xfId="16772"/>
    <cellStyle name="Currency 3 4 8" xfId="16773"/>
    <cellStyle name="Currency 3 4 8 2" xfId="16774"/>
    <cellStyle name="Currency 3 4 8 2 2" xfId="16775"/>
    <cellStyle name="Currency 3 4 8 2 2 2" xfId="16776"/>
    <cellStyle name="Currency 3 4 8 2 2 3" xfId="16777"/>
    <cellStyle name="Currency 3 4 8 2 3" xfId="16778"/>
    <cellStyle name="Currency 3 4 8 2 3 2" xfId="16779"/>
    <cellStyle name="Currency 3 4 8 2 4" xfId="16780"/>
    <cellStyle name="Currency 3 4 8 3" xfId="16781"/>
    <cellStyle name="Currency 3 4 8 3 2" xfId="16782"/>
    <cellStyle name="Currency 3 4 8 3 2 2" xfId="16783"/>
    <cellStyle name="Currency 3 4 8 3 3" xfId="16784"/>
    <cellStyle name="Currency 3 4 8 4" xfId="16785"/>
    <cellStyle name="Currency 3 4 8 4 2" xfId="16786"/>
    <cellStyle name="Currency 3 4 8 4 3" xfId="16787"/>
    <cellStyle name="Currency 3 4 8 5" xfId="16788"/>
    <cellStyle name="Currency 3 4 8 5 2" xfId="16789"/>
    <cellStyle name="Currency 3 4 8 6" xfId="16790"/>
    <cellStyle name="Currency 3 4 8 6 2" xfId="36629"/>
    <cellStyle name="Currency 3 4 8 7" xfId="16791"/>
    <cellStyle name="Currency 3 4 9" xfId="16792"/>
    <cellStyle name="Currency 3 4 9 2" xfId="16793"/>
    <cellStyle name="Currency 3 4 9 2 2" xfId="16794"/>
    <cellStyle name="Currency 3 4 9 2 2 2" xfId="16795"/>
    <cellStyle name="Currency 3 4 9 2 3" xfId="16796"/>
    <cellStyle name="Currency 3 4 9 3" xfId="16797"/>
    <cellStyle name="Currency 3 4 9 3 2" xfId="16798"/>
    <cellStyle name="Currency 3 4 9 4" xfId="16799"/>
    <cellStyle name="Currency 3 5" xfId="16800"/>
    <cellStyle name="Currency 3 5 10" xfId="16801"/>
    <cellStyle name="Currency 3 5 10 2" xfId="16802"/>
    <cellStyle name="Currency 3 5 10 2 2" xfId="16803"/>
    <cellStyle name="Currency 3 5 10 3" xfId="16804"/>
    <cellStyle name="Currency 3 5 11" xfId="16805"/>
    <cellStyle name="Currency 3 5 11 2" xfId="16806"/>
    <cellStyle name="Currency 3 5 11 2 2" xfId="16807"/>
    <cellStyle name="Currency 3 5 11 3" xfId="16808"/>
    <cellStyle name="Currency 3 5 12" xfId="16809"/>
    <cellStyle name="Currency 3 5 12 2" xfId="16810"/>
    <cellStyle name="Currency 3 5 13" xfId="16811"/>
    <cellStyle name="Currency 3 5 13 2" xfId="36630"/>
    <cellStyle name="Currency 3 5 14" xfId="16812"/>
    <cellStyle name="Currency 3 5 2" xfId="16813"/>
    <cellStyle name="Currency 3 5 2 10" xfId="16814"/>
    <cellStyle name="Currency 3 5 2 2" xfId="16815"/>
    <cellStyle name="Currency 3 5 2 2 2" xfId="16816"/>
    <cellStyle name="Currency 3 5 2 2 2 2" xfId="16817"/>
    <cellStyle name="Currency 3 5 2 2 2 2 2" xfId="16818"/>
    <cellStyle name="Currency 3 5 2 2 2 2 2 2" xfId="16819"/>
    <cellStyle name="Currency 3 5 2 2 2 2 2 2 2" xfId="16820"/>
    <cellStyle name="Currency 3 5 2 2 2 2 2 2 3" xfId="16821"/>
    <cellStyle name="Currency 3 5 2 2 2 2 2 3" xfId="16822"/>
    <cellStyle name="Currency 3 5 2 2 2 2 2 3 2" xfId="16823"/>
    <cellStyle name="Currency 3 5 2 2 2 2 2 4" xfId="16824"/>
    <cellStyle name="Currency 3 5 2 2 2 2 3" xfId="16825"/>
    <cellStyle name="Currency 3 5 2 2 2 2 3 2" xfId="16826"/>
    <cellStyle name="Currency 3 5 2 2 2 2 3 2 2" xfId="16827"/>
    <cellStyle name="Currency 3 5 2 2 2 2 3 3" xfId="16828"/>
    <cellStyle name="Currency 3 5 2 2 2 2 4" xfId="16829"/>
    <cellStyle name="Currency 3 5 2 2 2 2 4 2" xfId="16830"/>
    <cellStyle name="Currency 3 5 2 2 2 2 4 3" xfId="16831"/>
    <cellStyle name="Currency 3 5 2 2 2 2 5" xfId="16832"/>
    <cellStyle name="Currency 3 5 2 2 2 2 5 2" xfId="16833"/>
    <cellStyle name="Currency 3 5 2 2 2 2 6" xfId="16834"/>
    <cellStyle name="Currency 3 5 2 2 2 2 6 2" xfId="36631"/>
    <cellStyle name="Currency 3 5 2 2 2 2 7" xfId="16835"/>
    <cellStyle name="Currency 3 5 2 2 2 3" xfId="16836"/>
    <cellStyle name="Currency 3 5 2 2 2 3 2" xfId="16837"/>
    <cellStyle name="Currency 3 5 2 2 2 3 2 2" xfId="16838"/>
    <cellStyle name="Currency 3 5 2 2 2 3 2 2 2" xfId="16839"/>
    <cellStyle name="Currency 3 5 2 2 2 3 2 3" xfId="16840"/>
    <cellStyle name="Currency 3 5 2 2 2 3 3" xfId="16841"/>
    <cellStyle name="Currency 3 5 2 2 2 3 3 2" xfId="16842"/>
    <cellStyle name="Currency 3 5 2 2 2 3 4" xfId="16843"/>
    <cellStyle name="Currency 3 5 2 2 2 4" xfId="16844"/>
    <cellStyle name="Currency 3 5 2 2 2 4 2" xfId="16845"/>
    <cellStyle name="Currency 3 5 2 2 2 4 2 2" xfId="16846"/>
    <cellStyle name="Currency 3 5 2 2 2 4 3" xfId="16847"/>
    <cellStyle name="Currency 3 5 2 2 2 5" xfId="16848"/>
    <cellStyle name="Currency 3 5 2 2 2 5 2" xfId="16849"/>
    <cellStyle name="Currency 3 5 2 2 2 5 2 2" xfId="16850"/>
    <cellStyle name="Currency 3 5 2 2 2 5 3" xfId="16851"/>
    <cellStyle name="Currency 3 5 2 2 2 6" xfId="16852"/>
    <cellStyle name="Currency 3 5 2 2 2 6 2" xfId="16853"/>
    <cellStyle name="Currency 3 5 2 2 2 7" xfId="16854"/>
    <cellStyle name="Currency 3 5 2 2 2 7 2" xfId="36632"/>
    <cellStyle name="Currency 3 5 2 2 2 8" xfId="16855"/>
    <cellStyle name="Currency 3 5 2 2 3" xfId="16856"/>
    <cellStyle name="Currency 3 5 2 2 3 2" xfId="16857"/>
    <cellStyle name="Currency 3 5 2 2 3 2 2" xfId="16858"/>
    <cellStyle name="Currency 3 5 2 2 3 2 2 2" xfId="16859"/>
    <cellStyle name="Currency 3 5 2 2 3 2 2 3" xfId="16860"/>
    <cellStyle name="Currency 3 5 2 2 3 2 3" xfId="16861"/>
    <cellStyle name="Currency 3 5 2 2 3 2 3 2" xfId="16862"/>
    <cellStyle name="Currency 3 5 2 2 3 2 4" xfId="16863"/>
    <cellStyle name="Currency 3 5 2 2 3 3" xfId="16864"/>
    <cellStyle name="Currency 3 5 2 2 3 3 2" xfId="16865"/>
    <cellStyle name="Currency 3 5 2 2 3 3 2 2" xfId="16866"/>
    <cellStyle name="Currency 3 5 2 2 3 3 3" xfId="16867"/>
    <cellStyle name="Currency 3 5 2 2 3 4" xfId="16868"/>
    <cellStyle name="Currency 3 5 2 2 3 4 2" xfId="16869"/>
    <cellStyle name="Currency 3 5 2 2 3 4 3" xfId="16870"/>
    <cellStyle name="Currency 3 5 2 2 3 5" xfId="16871"/>
    <cellStyle name="Currency 3 5 2 2 3 5 2" xfId="16872"/>
    <cellStyle name="Currency 3 5 2 2 3 6" xfId="16873"/>
    <cellStyle name="Currency 3 5 2 2 3 6 2" xfId="36633"/>
    <cellStyle name="Currency 3 5 2 2 3 7" xfId="16874"/>
    <cellStyle name="Currency 3 5 2 2 4" xfId="16875"/>
    <cellStyle name="Currency 3 5 2 2 4 2" xfId="16876"/>
    <cellStyle name="Currency 3 5 2 2 4 2 2" xfId="16877"/>
    <cellStyle name="Currency 3 5 2 2 4 2 2 2" xfId="16878"/>
    <cellStyle name="Currency 3 5 2 2 4 2 3" xfId="16879"/>
    <cellStyle name="Currency 3 5 2 2 4 3" xfId="16880"/>
    <cellStyle name="Currency 3 5 2 2 4 3 2" xfId="16881"/>
    <cellStyle name="Currency 3 5 2 2 4 4" xfId="16882"/>
    <cellStyle name="Currency 3 5 2 2 5" xfId="16883"/>
    <cellStyle name="Currency 3 5 2 2 5 2" xfId="16884"/>
    <cellStyle name="Currency 3 5 2 2 5 2 2" xfId="16885"/>
    <cellStyle name="Currency 3 5 2 2 5 3" xfId="16886"/>
    <cellStyle name="Currency 3 5 2 2 6" xfId="16887"/>
    <cellStyle name="Currency 3 5 2 2 6 2" xfId="16888"/>
    <cellStyle name="Currency 3 5 2 2 6 2 2" xfId="16889"/>
    <cellStyle name="Currency 3 5 2 2 6 3" xfId="16890"/>
    <cellStyle name="Currency 3 5 2 2 7" xfId="16891"/>
    <cellStyle name="Currency 3 5 2 2 7 2" xfId="16892"/>
    <cellStyle name="Currency 3 5 2 2 8" xfId="16893"/>
    <cellStyle name="Currency 3 5 2 2 8 2" xfId="36634"/>
    <cellStyle name="Currency 3 5 2 2 9" xfId="16894"/>
    <cellStyle name="Currency 3 5 2 3" xfId="16895"/>
    <cellStyle name="Currency 3 5 2 3 2" xfId="16896"/>
    <cellStyle name="Currency 3 5 2 3 2 2" xfId="16897"/>
    <cellStyle name="Currency 3 5 2 3 2 2 2" xfId="16898"/>
    <cellStyle name="Currency 3 5 2 3 2 2 2 2" xfId="16899"/>
    <cellStyle name="Currency 3 5 2 3 2 2 2 3" xfId="16900"/>
    <cellStyle name="Currency 3 5 2 3 2 2 3" xfId="16901"/>
    <cellStyle name="Currency 3 5 2 3 2 2 3 2" xfId="16902"/>
    <cellStyle name="Currency 3 5 2 3 2 2 4" xfId="16903"/>
    <cellStyle name="Currency 3 5 2 3 2 3" xfId="16904"/>
    <cellStyle name="Currency 3 5 2 3 2 3 2" xfId="16905"/>
    <cellStyle name="Currency 3 5 2 3 2 3 2 2" xfId="16906"/>
    <cellStyle name="Currency 3 5 2 3 2 3 3" xfId="16907"/>
    <cellStyle name="Currency 3 5 2 3 2 4" xfId="16908"/>
    <cellStyle name="Currency 3 5 2 3 2 4 2" xfId="16909"/>
    <cellStyle name="Currency 3 5 2 3 2 4 3" xfId="16910"/>
    <cellStyle name="Currency 3 5 2 3 2 5" xfId="16911"/>
    <cellStyle name="Currency 3 5 2 3 2 5 2" xfId="16912"/>
    <cellStyle name="Currency 3 5 2 3 2 6" xfId="16913"/>
    <cellStyle name="Currency 3 5 2 3 2 6 2" xfId="36635"/>
    <cellStyle name="Currency 3 5 2 3 2 7" xfId="16914"/>
    <cellStyle name="Currency 3 5 2 3 3" xfId="16915"/>
    <cellStyle name="Currency 3 5 2 3 3 2" xfId="16916"/>
    <cellStyle name="Currency 3 5 2 3 3 2 2" xfId="16917"/>
    <cellStyle name="Currency 3 5 2 3 3 2 2 2" xfId="16918"/>
    <cellStyle name="Currency 3 5 2 3 3 2 3" xfId="16919"/>
    <cellStyle name="Currency 3 5 2 3 3 3" xfId="16920"/>
    <cellStyle name="Currency 3 5 2 3 3 3 2" xfId="16921"/>
    <cellStyle name="Currency 3 5 2 3 3 4" xfId="16922"/>
    <cellStyle name="Currency 3 5 2 3 4" xfId="16923"/>
    <cellStyle name="Currency 3 5 2 3 4 2" xfId="16924"/>
    <cellStyle name="Currency 3 5 2 3 4 2 2" xfId="16925"/>
    <cellStyle name="Currency 3 5 2 3 4 3" xfId="16926"/>
    <cellStyle name="Currency 3 5 2 3 5" xfId="16927"/>
    <cellStyle name="Currency 3 5 2 3 5 2" xfId="16928"/>
    <cellStyle name="Currency 3 5 2 3 5 2 2" xfId="16929"/>
    <cellStyle name="Currency 3 5 2 3 5 3" xfId="16930"/>
    <cellStyle name="Currency 3 5 2 3 6" xfId="16931"/>
    <cellStyle name="Currency 3 5 2 3 6 2" xfId="16932"/>
    <cellStyle name="Currency 3 5 2 3 7" xfId="16933"/>
    <cellStyle name="Currency 3 5 2 3 7 2" xfId="36636"/>
    <cellStyle name="Currency 3 5 2 3 8" xfId="16934"/>
    <cellStyle name="Currency 3 5 2 4" xfId="16935"/>
    <cellStyle name="Currency 3 5 2 4 2" xfId="16936"/>
    <cellStyle name="Currency 3 5 2 4 2 2" xfId="16937"/>
    <cellStyle name="Currency 3 5 2 4 2 2 2" xfId="16938"/>
    <cellStyle name="Currency 3 5 2 4 2 2 3" xfId="16939"/>
    <cellStyle name="Currency 3 5 2 4 2 3" xfId="16940"/>
    <cellStyle name="Currency 3 5 2 4 2 3 2" xfId="16941"/>
    <cellStyle name="Currency 3 5 2 4 2 4" xfId="16942"/>
    <cellStyle name="Currency 3 5 2 4 3" xfId="16943"/>
    <cellStyle name="Currency 3 5 2 4 3 2" xfId="16944"/>
    <cellStyle name="Currency 3 5 2 4 3 2 2" xfId="16945"/>
    <cellStyle name="Currency 3 5 2 4 3 3" xfId="16946"/>
    <cellStyle name="Currency 3 5 2 4 4" xfId="16947"/>
    <cellStyle name="Currency 3 5 2 4 4 2" xfId="16948"/>
    <cellStyle name="Currency 3 5 2 4 4 3" xfId="16949"/>
    <cellStyle name="Currency 3 5 2 4 5" xfId="16950"/>
    <cellStyle name="Currency 3 5 2 4 5 2" xfId="16951"/>
    <cellStyle name="Currency 3 5 2 4 6" xfId="16952"/>
    <cellStyle name="Currency 3 5 2 4 6 2" xfId="36637"/>
    <cellStyle name="Currency 3 5 2 4 7" xfId="16953"/>
    <cellStyle name="Currency 3 5 2 5" xfId="16954"/>
    <cellStyle name="Currency 3 5 2 5 2" xfId="16955"/>
    <cellStyle name="Currency 3 5 2 5 2 2" xfId="16956"/>
    <cellStyle name="Currency 3 5 2 5 2 2 2" xfId="16957"/>
    <cellStyle name="Currency 3 5 2 5 2 3" xfId="16958"/>
    <cellStyle name="Currency 3 5 2 5 3" xfId="16959"/>
    <cellStyle name="Currency 3 5 2 5 3 2" xfId="16960"/>
    <cellStyle name="Currency 3 5 2 5 4" xfId="16961"/>
    <cellStyle name="Currency 3 5 2 6" xfId="16962"/>
    <cellStyle name="Currency 3 5 2 6 2" xfId="16963"/>
    <cellStyle name="Currency 3 5 2 6 2 2" xfId="16964"/>
    <cellStyle name="Currency 3 5 2 6 3" xfId="16965"/>
    <cellStyle name="Currency 3 5 2 7" xfId="16966"/>
    <cellStyle name="Currency 3 5 2 7 2" xfId="16967"/>
    <cellStyle name="Currency 3 5 2 7 2 2" xfId="16968"/>
    <cellStyle name="Currency 3 5 2 7 3" xfId="16969"/>
    <cellStyle name="Currency 3 5 2 8" xfId="16970"/>
    <cellStyle name="Currency 3 5 2 8 2" xfId="16971"/>
    <cellStyle name="Currency 3 5 2 9" xfId="16972"/>
    <cellStyle name="Currency 3 5 2 9 2" xfId="36638"/>
    <cellStyle name="Currency 3 5 3" xfId="16973"/>
    <cellStyle name="Currency 3 5 3 2" xfId="16974"/>
    <cellStyle name="Currency 3 5 3 2 2" xfId="16975"/>
    <cellStyle name="Currency 3 5 3 2 2 2" xfId="16976"/>
    <cellStyle name="Currency 3 5 3 2 2 2 2" xfId="16977"/>
    <cellStyle name="Currency 3 5 3 2 2 2 2 2" xfId="16978"/>
    <cellStyle name="Currency 3 5 3 2 2 2 2 3" xfId="16979"/>
    <cellStyle name="Currency 3 5 3 2 2 2 3" xfId="16980"/>
    <cellStyle name="Currency 3 5 3 2 2 2 3 2" xfId="16981"/>
    <cellStyle name="Currency 3 5 3 2 2 2 4" xfId="16982"/>
    <cellStyle name="Currency 3 5 3 2 2 3" xfId="16983"/>
    <cellStyle name="Currency 3 5 3 2 2 3 2" xfId="16984"/>
    <cellStyle name="Currency 3 5 3 2 2 3 2 2" xfId="16985"/>
    <cellStyle name="Currency 3 5 3 2 2 3 3" xfId="16986"/>
    <cellStyle name="Currency 3 5 3 2 2 4" xfId="16987"/>
    <cellStyle name="Currency 3 5 3 2 2 4 2" xfId="16988"/>
    <cellStyle name="Currency 3 5 3 2 2 4 3" xfId="16989"/>
    <cellStyle name="Currency 3 5 3 2 2 5" xfId="16990"/>
    <cellStyle name="Currency 3 5 3 2 2 5 2" xfId="16991"/>
    <cellStyle name="Currency 3 5 3 2 2 6" xfId="16992"/>
    <cellStyle name="Currency 3 5 3 2 2 6 2" xfId="36639"/>
    <cellStyle name="Currency 3 5 3 2 2 7" xfId="16993"/>
    <cellStyle name="Currency 3 5 3 2 3" xfId="16994"/>
    <cellStyle name="Currency 3 5 3 2 3 2" xfId="16995"/>
    <cellStyle name="Currency 3 5 3 2 3 2 2" xfId="16996"/>
    <cellStyle name="Currency 3 5 3 2 3 2 2 2" xfId="16997"/>
    <cellStyle name="Currency 3 5 3 2 3 2 3" xfId="16998"/>
    <cellStyle name="Currency 3 5 3 2 3 3" xfId="16999"/>
    <cellStyle name="Currency 3 5 3 2 3 3 2" xfId="17000"/>
    <cellStyle name="Currency 3 5 3 2 3 4" xfId="17001"/>
    <cellStyle name="Currency 3 5 3 2 4" xfId="17002"/>
    <cellStyle name="Currency 3 5 3 2 4 2" xfId="17003"/>
    <cellStyle name="Currency 3 5 3 2 4 2 2" xfId="17004"/>
    <cellStyle name="Currency 3 5 3 2 4 3" xfId="17005"/>
    <cellStyle name="Currency 3 5 3 2 5" xfId="17006"/>
    <cellStyle name="Currency 3 5 3 2 5 2" xfId="17007"/>
    <cellStyle name="Currency 3 5 3 2 5 2 2" xfId="17008"/>
    <cellStyle name="Currency 3 5 3 2 5 3" xfId="17009"/>
    <cellStyle name="Currency 3 5 3 2 6" xfId="17010"/>
    <cellStyle name="Currency 3 5 3 2 6 2" xfId="17011"/>
    <cellStyle name="Currency 3 5 3 2 7" xfId="17012"/>
    <cellStyle name="Currency 3 5 3 2 7 2" xfId="36640"/>
    <cellStyle name="Currency 3 5 3 2 8" xfId="17013"/>
    <cellStyle name="Currency 3 5 3 3" xfId="17014"/>
    <cellStyle name="Currency 3 5 3 3 2" xfId="17015"/>
    <cellStyle name="Currency 3 5 3 3 2 2" xfId="17016"/>
    <cellStyle name="Currency 3 5 3 3 2 2 2" xfId="17017"/>
    <cellStyle name="Currency 3 5 3 3 2 2 3" xfId="17018"/>
    <cellStyle name="Currency 3 5 3 3 2 3" xfId="17019"/>
    <cellStyle name="Currency 3 5 3 3 2 3 2" xfId="17020"/>
    <cellStyle name="Currency 3 5 3 3 2 4" xfId="17021"/>
    <cellStyle name="Currency 3 5 3 3 3" xfId="17022"/>
    <cellStyle name="Currency 3 5 3 3 3 2" xfId="17023"/>
    <cellStyle name="Currency 3 5 3 3 3 2 2" xfId="17024"/>
    <cellStyle name="Currency 3 5 3 3 3 3" xfId="17025"/>
    <cellStyle name="Currency 3 5 3 3 4" xfId="17026"/>
    <cellStyle name="Currency 3 5 3 3 4 2" xfId="17027"/>
    <cellStyle name="Currency 3 5 3 3 4 3" xfId="17028"/>
    <cellStyle name="Currency 3 5 3 3 5" xfId="17029"/>
    <cellStyle name="Currency 3 5 3 3 5 2" xfId="17030"/>
    <cellStyle name="Currency 3 5 3 3 6" xfId="17031"/>
    <cellStyle name="Currency 3 5 3 3 6 2" xfId="36641"/>
    <cellStyle name="Currency 3 5 3 3 7" xfId="17032"/>
    <cellStyle name="Currency 3 5 3 4" xfId="17033"/>
    <cellStyle name="Currency 3 5 3 4 2" xfId="17034"/>
    <cellStyle name="Currency 3 5 3 4 2 2" xfId="17035"/>
    <cellStyle name="Currency 3 5 3 4 2 2 2" xfId="17036"/>
    <cellStyle name="Currency 3 5 3 4 2 3" xfId="17037"/>
    <cellStyle name="Currency 3 5 3 4 3" xfId="17038"/>
    <cellStyle name="Currency 3 5 3 4 3 2" xfId="17039"/>
    <cellStyle name="Currency 3 5 3 4 4" xfId="17040"/>
    <cellStyle name="Currency 3 5 3 5" xfId="17041"/>
    <cellStyle name="Currency 3 5 3 5 2" xfId="17042"/>
    <cellStyle name="Currency 3 5 3 5 2 2" xfId="17043"/>
    <cellStyle name="Currency 3 5 3 5 3" xfId="17044"/>
    <cellStyle name="Currency 3 5 3 6" xfId="17045"/>
    <cellStyle name="Currency 3 5 3 6 2" xfId="17046"/>
    <cellStyle name="Currency 3 5 3 6 2 2" xfId="17047"/>
    <cellStyle name="Currency 3 5 3 6 3" xfId="17048"/>
    <cellStyle name="Currency 3 5 3 7" xfId="17049"/>
    <cellStyle name="Currency 3 5 3 7 2" xfId="17050"/>
    <cellStyle name="Currency 3 5 3 8" xfId="17051"/>
    <cellStyle name="Currency 3 5 3 8 2" xfId="36642"/>
    <cellStyle name="Currency 3 5 3 9" xfId="17052"/>
    <cellStyle name="Currency 3 5 4" xfId="17053"/>
    <cellStyle name="Currency 3 5 4 2" xfId="17054"/>
    <cellStyle name="Currency 3 5 4 2 2" xfId="17055"/>
    <cellStyle name="Currency 3 5 4 2 2 2" xfId="17056"/>
    <cellStyle name="Currency 3 5 4 2 2 2 2" xfId="17057"/>
    <cellStyle name="Currency 3 5 4 2 2 2 2 2" xfId="17058"/>
    <cellStyle name="Currency 3 5 4 2 2 2 2 3" xfId="17059"/>
    <cellStyle name="Currency 3 5 4 2 2 2 3" xfId="17060"/>
    <cellStyle name="Currency 3 5 4 2 2 2 3 2" xfId="17061"/>
    <cellStyle name="Currency 3 5 4 2 2 2 4" xfId="17062"/>
    <cellStyle name="Currency 3 5 4 2 2 3" xfId="17063"/>
    <cellStyle name="Currency 3 5 4 2 2 3 2" xfId="17064"/>
    <cellStyle name="Currency 3 5 4 2 2 3 2 2" xfId="17065"/>
    <cellStyle name="Currency 3 5 4 2 2 3 3" xfId="17066"/>
    <cellStyle name="Currency 3 5 4 2 2 4" xfId="17067"/>
    <cellStyle name="Currency 3 5 4 2 2 4 2" xfId="17068"/>
    <cellStyle name="Currency 3 5 4 2 2 4 3" xfId="17069"/>
    <cellStyle name="Currency 3 5 4 2 2 5" xfId="17070"/>
    <cellStyle name="Currency 3 5 4 2 2 5 2" xfId="17071"/>
    <cellStyle name="Currency 3 5 4 2 2 6" xfId="17072"/>
    <cellStyle name="Currency 3 5 4 2 2 6 2" xfId="36643"/>
    <cellStyle name="Currency 3 5 4 2 2 7" xfId="17073"/>
    <cellStyle name="Currency 3 5 4 2 3" xfId="17074"/>
    <cellStyle name="Currency 3 5 4 2 3 2" xfId="17075"/>
    <cellStyle name="Currency 3 5 4 2 3 2 2" xfId="17076"/>
    <cellStyle name="Currency 3 5 4 2 3 2 2 2" xfId="17077"/>
    <cellStyle name="Currency 3 5 4 2 3 2 3" xfId="17078"/>
    <cellStyle name="Currency 3 5 4 2 3 3" xfId="17079"/>
    <cellStyle name="Currency 3 5 4 2 3 3 2" xfId="17080"/>
    <cellStyle name="Currency 3 5 4 2 3 4" xfId="17081"/>
    <cellStyle name="Currency 3 5 4 2 4" xfId="17082"/>
    <cellStyle name="Currency 3 5 4 2 4 2" xfId="17083"/>
    <cellStyle name="Currency 3 5 4 2 4 2 2" xfId="17084"/>
    <cellStyle name="Currency 3 5 4 2 4 3" xfId="17085"/>
    <cellStyle name="Currency 3 5 4 2 5" xfId="17086"/>
    <cellStyle name="Currency 3 5 4 2 5 2" xfId="17087"/>
    <cellStyle name="Currency 3 5 4 2 5 2 2" xfId="17088"/>
    <cellStyle name="Currency 3 5 4 2 5 3" xfId="17089"/>
    <cellStyle name="Currency 3 5 4 2 6" xfId="17090"/>
    <cellStyle name="Currency 3 5 4 2 6 2" xfId="17091"/>
    <cellStyle name="Currency 3 5 4 2 7" xfId="17092"/>
    <cellStyle name="Currency 3 5 4 2 7 2" xfId="36644"/>
    <cellStyle name="Currency 3 5 4 2 8" xfId="17093"/>
    <cellStyle name="Currency 3 5 4 3" xfId="17094"/>
    <cellStyle name="Currency 3 5 4 3 2" xfId="17095"/>
    <cellStyle name="Currency 3 5 4 3 2 2" xfId="17096"/>
    <cellStyle name="Currency 3 5 4 3 2 2 2" xfId="17097"/>
    <cellStyle name="Currency 3 5 4 3 2 2 3" xfId="17098"/>
    <cellStyle name="Currency 3 5 4 3 2 3" xfId="17099"/>
    <cellStyle name="Currency 3 5 4 3 2 3 2" xfId="17100"/>
    <cellStyle name="Currency 3 5 4 3 2 4" xfId="17101"/>
    <cellStyle name="Currency 3 5 4 3 3" xfId="17102"/>
    <cellStyle name="Currency 3 5 4 3 3 2" xfId="17103"/>
    <cellStyle name="Currency 3 5 4 3 3 2 2" xfId="17104"/>
    <cellStyle name="Currency 3 5 4 3 3 3" xfId="17105"/>
    <cellStyle name="Currency 3 5 4 3 4" xfId="17106"/>
    <cellStyle name="Currency 3 5 4 3 4 2" xfId="17107"/>
    <cellStyle name="Currency 3 5 4 3 4 3" xfId="17108"/>
    <cellStyle name="Currency 3 5 4 3 5" xfId="17109"/>
    <cellStyle name="Currency 3 5 4 3 5 2" xfId="17110"/>
    <cellStyle name="Currency 3 5 4 3 6" xfId="17111"/>
    <cellStyle name="Currency 3 5 4 3 6 2" xfId="36645"/>
    <cellStyle name="Currency 3 5 4 3 7" xfId="17112"/>
    <cellStyle name="Currency 3 5 4 4" xfId="17113"/>
    <cellStyle name="Currency 3 5 4 4 2" xfId="17114"/>
    <cellStyle name="Currency 3 5 4 4 2 2" xfId="17115"/>
    <cellStyle name="Currency 3 5 4 4 2 2 2" xfId="17116"/>
    <cellStyle name="Currency 3 5 4 4 2 3" xfId="17117"/>
    <cellStyle name="Currency 3 5 4 4 3" xfId="17118"/>
    <cellStyle name="Currency 3 5 4 4 3 2" xfId="17119"/>
    <cellStyle name="Currency 3 5 4 4 4" xfId="17120"/>
    <cellStyle name="Currency 3 5 4 5" xfId="17121"/>
    <cellStyle name="Currency 3 5 4 5 2" xfId="17122"/>
    <cellStyle name="Currency 3 5 4 5 2 2" xfId="17123"/>
    <cellStyle name="Currency 3 5 4 5 3" xfId="17124"/>
    <cellStyle name="Currency 3 5 4 6" xfId="17125"/>
    <cellStyle name="Currency 3 5 4 6 2" xfId="17126"/>
    <cellStyle name="Currency 3 5 4 6 2 2" xfId="17127"/>
    <cellStyle name="Currency 3 5 4 6 3" xfId="17128"/>
    <cellStyle name="Currency 3 5 4 7" xfId="17129"/>
    <cellStyle name="Currency 3 5 4 7 2" xfId="17130"/>
    <cellStyle name="Currency 3 5 4 8" xfId="17131"/>
    <cellStyle name="Currency 3 5 4 8 2" xfId="36646"/>
    <cellStyle name="Currency 3 5 4 9" xfId="17132"/>
    <cellStyle name="Currency 3 5 5" xfId="17133"/>
    <cellStyle name="Currency 3 5 5 2" xfId="17134"/>
    <cellStyle name="Currency 3 5 5 2 2" xfId="17135"/>
    <cellStyle name="Currency 3 5 5 2 2 2" xfId="17136"/>
    <cellStyle name="Currency 3 5 5 2 2 2 2" xfId="17137"/>
    <cellStyle name="Currency 3 5 5 2 2 2 3" xfId="17138"/>
    <cellStyle name="Currency 3 5 5 2 2 3" xfId="17139"/>
    <cellStyle name="Currency 3 5 5 2 2 3 2" xfId="17140"/>
    <cellStyle name="Currency 3 5 5 2 2 4" xfId="17141"/>
    <cellStyle name="Currency 3 5 5 2 3" xfId="17142"/>
    <cellStyle name="Currency 3 5 5 2 3 2" xfId="17143"/>
    <cellStyle name="Currency 3 5 5 2 3 2 2" xfId="17144"/>
    <cellStyle name="Currency 3 5 5 2 3 3" xfId="17145"/>
    <cellStyle name="Currency 3 5 5 2 4" xfId="17146"/>
    <cellStyle name="Currency 3 5 5 2 4 2" xfId="17147"/>
    <cellStyle name="Currency 3 5 5 2 4 3" xfId="17148"/>
    <cellStyle name="Currency 3 5 5 2 5" xfId="17149"/>
    <cellStyle name="Currency 3 5 5 2 5 2" xfId="17150"/>
    <cellStyle name="Currency 3 5 5 2 6" xfId="17151"/>
    <cellStyle name="Currency 3 5 5 2 6 2" xfId="36647"/>
    <cellStyle name="Currency 3 5 5 2 7" xfId="17152"/>
    <cellStyle name="Currency 3 5 5 3" xfId="17153"/>
    <cellStyle name="Currency 3 5 5 3 2" xfId="17154"/>
    <cellStyle name="Currency 3 5 5 3 2 2" xfId="17155"/>
    <cellStyle name="Currency 3 5 5 3 2 2 2" xfId="17156"/>
    <cellStyle name="Currency 3 5 5 3 2 3" xfId="17157"/>
    <cellStyle name="Currency 3 5 5 3 3" xfId="17158"/>
    <cellStyle name="Currency 3 5 5 3 3 2" xfId="17159"/>
    <cellStyle name="Currency 3 5 5 3 4" xfId="17160"/>
    <cellStyle name="Currency 3 5 5 4" xfId="17161"/>
    <cellStyle name="Currency 3 5 5 4 2" xfId="17162"/>
    <cellStyle name="Currency 3 5 5 4 2 2" xfId="17163"/>
    <cellStyle name="Currency 3 5 5 4 3" xfId="17164"/>
    <cellStyle name="Currency 3 5 5 5" xfId="17165"/>
    <cellStyle name="Currency 3 5 5 5 2" xfId="17166"/>
    <cellStyle name="Currency 3 5 5 5 2 2" xfId="17167"/>
    <cellStyle name="Currency 3 5 5 5 3" xfId="17168"/>
    <cellStyle name="Currency 3 5 5 6" xfId="17169"/>
    <cellStyle name="Currency 3 5 5 6 2" xfId="17170"/>
    <cellStyle name="Currency 3 5 5 7" xfId="17171"/>
    <cellStyle name="Currency 3 5 5 7 2" xfId="36648"/>
    <cellStyle name="Currency 3 5 5 8" xfId="17172"/>
    <cellStyle name="Currency 3 5 6" xfId="17173"/>
    <cellStyle name="Currency 3 5 6 2" xfId="17174"/>
    <cellStyle name="Currency 3 5 6 2 2" xfId="17175"/>
    <cellStyle name="Currency 3 5 6 2 2 2" xfId="17176"/>
    <cellStyle name="Currency 3 5 6 2 2 2 2" xfId="17177"/>
    <cellStyle name="Currency 3 5 6 2 2 2 3" xfId="17178"/>
    <cellStyle name="Currency 3 5 6 2 2 3" xfId="17179"/>
    <cellStyle name="Currency 3 5 6 2 2 3 2" xfId="17180"/>
    <cellStyle name="Currency 3 5 6 2 2 4" xfId="17181"/>
    <cellStyle name="Currency 3 5 6 2 3" xfId="17182"/>
    <cellStyle name="Currency 3 5 6 2 3 2" xfId="17183"/>
    <cellStyle name="Currency 3 5 6 2 3 2 2" xfId="17184"/>
    <cellStyle name="Currency 3 5 6 2 3 3" xfId="17185"/>
    <cellStyle name="Currency 3 5 6 2 4" xfId="17186"/>
    <cellStyle name="Currency 3 5 6 2 4 2" xfId="17187"/>
    <cellStyle name="Currency 3 5 6 2 4 3" xfId="17188"/>
    <cellStyle name="Currency 3 5 6 2 5" xfId="17189"/>
    <cellStyle name="Currency 3 5 6 2 5 2" xfId="17190"/>
    <cellStyle name="Currency 3 5 6 2 6" xfId="17191"/>
    <cellStyle name="Currency 3 5 6 2 6 2" xfId="36649"/>
    <cellStyle name="Currency 3 5 6 2 7" xfId="17192"/>
    <cellStyle name="Currency 3 5 6 3" xfId="17193"/>
    <cellStyle name="Currency 3 5 6 3 2" xfId="17194"/>
    <cellStyle name="Currency 3 5 6 3 2 2" xfId="17195"/>
    <cellStyle name="Currency 3 5 6 3 2 2 2" xfId="17196"/>
    <cellStyle name="Currency 3 5 6 3 2 3" xfId="17197"/>
    <cellStyle name="Currency 3 5 6 3 3" xfId="17198"/>
    <cellStyle name="Currency 3 5 6 3 3 2" xfId="17199"/>
    <cellStyle name="Currency 3 5 6 3 4" xfId="17200"/>
    <cellStyle name="Currency 3 5 6 4" xfId="17201"/>
    <cellStyle name="Currency 3 5 6 4 2" xfId="17202"/>
    <cellStyle name="Currency 3 5 6 4 2 2" xfId="17203"/>
    <cellStyle name="Currency 3 5 6 4 3" xfId="17204"/>
    <cellStyle name="Currency 3 5 6 5" xfId="17205"/>
    <cellStyle name="Currency 3 5 6 5 2" xfId="17206"/>
    <cellStyle name="Currency 3 5 6 5 2 2" xfId="17207"/>
    <cellStyle name="Currency 3 5 6 5 3" xfId="17208"/>
    <cellStyle name="Currency 3 5 6 6" xfId="17209"/>
    <cellStyle name="Currency 3 5 6 6 2" xfId="17210"/>
    <cellStyle name="Currency 3 5 6 7" xfId="17211"/>
    <cellStyle name="Currency 3 5 6 7 2" xfId="36650"/>
    <cellStyle name="Currency 3 5 6 8" xfId="17212"/>
    <cellStyle name="Currency 3 5 7" xfId="17213"/>
    <cellStyle name="Currency 3 5 7 2" xfId="17214"/>
    <cellStyle name="Currency 3 5 7 2 2" xfId="17215"/>
    <cellStyle name="Currency 3 5 7 2 2 2" xfId="17216"/>
    <cellStyle name="Currency 3 5 7 2 2 2 2" xfId="17217"/>
    <cellStyle name="Currency 3 5 7 2 2 2 3" xfId="17218"/>
    <cellStyle name="Currency 3 5 7 2 2 3" xfId="17219"/>
    <cellStyle name="Currency 3 5 7 2 2 3 2" xfId="17220"/>
    <cellStyle name="Currency 3 5 7 2 2 4" xfId="17221"/>
    <cellStyle name="Currency 3 5 7 2 3" xfId="17222"/>
    <cellStyle name="Currency 3 5 7 2 3 2" xfId="17223"/>
    <cellStyle name="Currency 3 5 7 2 3 2 2" xfId="17224"/>
    <cellStyle name="Currency 3 5 7 2 3 3" xfId="17225"/>
    <cellStyle name="Currency 3 5 7 2 4" xfId="17226"/>
    <cellStyle name="Currency 3 5 7 2 4 2" xfId="17227"/>
    <cellStyle name="Currency 3 5 7 2 4 3" xfId="17228"/>
    <cellStyle name="Currency 3 5 7 2 5" xfId="17229"/>
    <cellStyle name="Currency 3 5 7 2 5 2" xfId="17230"/>
    <cellStyle name="Currency 3 5 7 2 6" xfId="17231"/>
    <cellStyle name="Currency 3 5 7 2 6 2" xfId="36651"/>
    <cellStyle name="Currency 3 5 7 2 7" xfId="17232"/>
    <cellStyle name="Currency 3 5 7 3" xfId="17233"/>
    <cellStyle name="Currency 3 5 7 3 2" xfId="17234"/>
    <cellStyle name="Currency 3 5 7 3 2 2" xfId="17235"/>
    <cellStyle name="Currency 3 5 7 3 2 2 2" xfId="17236"/>
    <cellStyle name="Currency 3 5 7 3 2 3" xfId="17237"/>
    <cellStyle name="Currency 3 5 7 3 3" xfId="17238"/>
    <cellStyle name="Currency 3 5 7 3 3 2" xfId="17239"/>
    <cellStyle name="Currency 3 5 7 3 4" xfId="17240"/>
    <cellStyle name="Currency 3 5 7 4" xfId="17241"/>
    <cellStyle name="Currency 3 5 7 4 2" xfId="17242"/>
    <cellStyle name="Currency 3 5 7 4 2 2" xfId="17243"/>
    <cellStyle name="Currency 3 5 7 4 3" xfId="17244"/>
    <cellStyle name="Currency 3 5 7 5" xfId="17245"/>
    <cellStyle name="Currency 3 5 7 5 2" xfId="17246"/>
    <cellStyle name="Currency 3 5 7 5 2 2" xfId="17247"/>
    <cellStyle name="Currency 3 5 7 5 3" xfId="17248"/>
    <cellStyle name="Currency 3 5 7 6" xfId="17249"/>
    <cellStyle name="Currency 3 5 7 6 2" xfId="17250"/>
    <cellStyle name="Currency 3 5 7 7" xfId="17251"/>
    <cellStyle name="Currency 3 5 7 7 2" xfId="36652"/>
    <cellStyle name="Currency 3 5 7 8" xfId="17252"/>
    <cellStyle name="Currency 3 5 8" xfId="17253"/>
    <cellStyle name="Currency 3 5 8 2" xfId="17254"/>
    <cellStyle name="Currency 3 5 8 2 2" xfId="17255"/>
    <cellStyle name="Currency 3 5 8 2 2 2" xfId="17256"/>
    <cellStyle name="Currency 3 5 8 2 2 3" xfId="17257"/>
    <cellStyle name="Currency 3 5 8 2 3" xfId="17258"/>
    <cellStyle name="Currency 3 5 8 2 3 2" xfId="17259"/>
    <cellStyle name="Currency 3 5 8 2 4" xfId="17260"/>
    <cellStyle name="Currency 3 5 8 3" xfId="17261"/>
    <cellStyle name="Currency 3 5 8 3 2" xfId="17262"/>
    <cellStyle name="Currency 3 5 8 3 2 2" xfId="17263"/>
    <cellStyle name="Currency 3 5 8 3 3" xfId="17264"/>
    <cellStyle name="Currency 3 5 8 4" xfId="17265"/>
    <cellStyle name="Currency 3 5 8 4 2" xfId="17266"/>
    <cellStyle name="Currency 3 5 8 4 3" xfId="17267"/>
    <cellStyle name="Currency 3 5 8 5" xfId="17268"/>
    <cellStyle name="Currency 3 5 8 5 2" xfId="17269"/>
    <cellStyle name="Currency 3 5 8 6" xfId="17270"/>
    <cellStyle name="Currency 3 5 8 6 2" xfId="36653"/>
    <cellStyle name="Currency 3 5 8 7" xfId="17271"/>
    <cellStyle name="Currency 3 5 9" xfId="17272"/>
    <cellStyle name="Currency 3 5 9 2" xfId="17273"/>
    <cellStyle name="Currency 3 5 9 2 2" xfId="17274"/>
    <cellStyle name="Currency 3 5 9 2 2 2" xfId="17275"/>
    <cellStyle name="Currency 3 5 9 2 3" xfId="17276"/>
    <cellStyle name="Currency 3 5 9 3" xfId="17277"/>
    <cellStyle name="Currency 3 5 9 3 2" xfId="17278"/>
    <cellStyle name="Currency 3 5 9 4" xfId="17279"/>
    <cellStyle name="Currency 3 6" xfId="17280"/>
    <cellStyle name="Currency 3 6 10" xfId="17281"/>
    <cellStyle name="Currency 3 6 10 2" xfId="17282"/>
    <cellStyle name="Currency 3 6 10 2 2" xfId="17283"/>
    <cellStyle name="Currency 3 6 10 3" xfId="17284"/>
    <cellStyle name="Currency 3 6 11" xfId="17285"/>
    <cellStyle name="Currency 3 6 11 2" xfId="17286"/>
    <cellStyle name="Currency 3 6 12" xfId="17287"/>
    <cellStyle name="Currency 3 6 12 2" xfId="36654"/>
    <cellStyle name="Currency 3 6 13" xfId="17288"/>
    <cellStyle name="Currency 3 6 2" xfId="17289"/>
    <cellStyle name="Currency 3 6 2 10" xfId="17290"/>
    <cellStyle name="Currency 3 6 2 2" xfId="17291"/>
    <cellStyle name="Currency 3 6 2 2 2" xfId="17292"/>
    <cellStyle name="Currency 3 6 2 2 2 2" xfId="17293"/>
    <cellStyle name="Currency 3 6 2 2 2 2 2" xfId="17294"/>
    <cellStyle name="Currency 3 6 2 2 2 2 2 2" xfId="17295"/>
    <cellStyle name="Currency 3 6 2 2 2 2 2 2 2" xfId="17296"/>
    <cellStyle name="Currency 3 6 2 2 2 2 2 2 3" xfId="17297"/>
    <cellStyle name="Currency 3 6 2 2 2 2 2 3" xfId="17298"/>
    <cellStyle name="Currency 3 6 2 2 2 2 2 3 2" xfId="17299"/>
    <cellStyle name="Currency 3 6 2 2 2 2 2 4" xfId="17300"/>
    <cellStyle name="Currency 3 6 2 2 2 2 3" xfId="17301"/>
    <cellStyle name="Currency 3 6 2 2 2 2 3 2" xfId="17302"/>
    <cellStyle name="Currency 3 6 2 2 2 2 3 2 2" xfId="17303"/>
    <cellStyle name="Currency 3 6 2 2 2 2 3 3" xfId="17304"/>
    <cellStyle name="Currency 3 6 2 2 2 2 4" xfId="17305"/>
    <cellStyle name="Currency 3 6 2 2 2 2 4 2" xfId="17306"/>
    <cellStyle name="Currency 3 6 2 2 2 2 4 3" xfId="17307"/>
    <cellStyle name="Currency 3 6 2 2 2 2 5" xfId="17308"/>
    <cellStyle name="Currency 3 6 2 2 2 2 5 2" xfId="17309"/>
    <cellStyle name="Currency 3 6 2 2 2 2 6" xfId="17310"/>
    <cellStyle name="Currency 3 6 2 2 2 2 6 2" xfId="36655"/>
    <cellStyle name="Currency 3 6 2 2 2 2 7" xfId="17311"/>
    <cellStyle name="Currency 3 6 2 2 2 3" xfId="17312"/>
    <cellStyle name="Currency 3 6 2 2 2 3 2" xfId="17313"/>
    <cellStyle name="Currency 3 6 2 2 2 3 2 2" xfId="17314"/>
    <cellStyle name="Currency 3 6 2 2 2 3 2 2 2" xfId="17315"/>
    <cellStyle name="Currency 3 6 2 2 2 3 2 3" xfId="17316"/>
    <cellStyle name="Currency 3 6 2 2 2 3 3" xfId="17317"/>
    <cellStyle name="Currency 3 6 2 2 2 3 3 2" xfId="17318"/>
    <cellStyle name="Currency 3 6 2 2 2 3 4" xfId="17319"/>
    <cellStyle name="Currency 3 6 2 2 2 4" xfId="17320"/>
    <cellStyle name="Currency 3 6 2 2 2 4 2" xfId="17321"/>
    <cellStyle name="Currency 3 6 2 2 2 4 2 2" xfId="17322"/>
    <cellStyle name="Currency 3 6 2 2 2 4 3" xfId="17323"/>
    <cellStyle name="Currency 3 6 2 2 2 5" xfId="17324"/>
    <cellStyle name="Currency 3 6 2 2 2 5 2" xfId="17325"/>
    <cellStyle name="Currency 3 6 2 2 2 5 2 2" xfId="17326"/>
    <cellStyle name="Currency 3 6 2 2 2 5 3" xfId="17327"/>
    <cellStyle name="Currency 3 6 2 2 2 6" xfId="17328"/>
    <cellStyle name="Currency 3 6 2 2 2 6 2" xfId="17329"/>
    <cellStyle name="Currency 3 6 2 2 2 7" xfId="17330"/>
    <cellStyle name="Currency 3 6 2 2 2 7 2" xfId="36656"/>
    <cellStyle name="Currency 3 6 2 2 2 8" xfId="17331"/>
    <cellStyle name="Currency 3 6 2 2 3" xfId="17332"/>
    <cellStyle name="Currency 3 6 2 2 3 2" xfId="17333"/>
    <cellStyle name="Currency 3 6 2 2 3 2 2" xfId="17334"/>
    <cellStyle name="Currency 3 6 2 2 3 2 2 2" xfId="17335"/>
    <cellStyle name="Currency 3 6 2 2 3 2 2 3" xfId="17336"/>
    <cellStyle name="Currency 3 6 2 2 3 2 3" xfId="17337"/>
    <cellStyle name="Currency 3 6 2 2 3 2 3 2" xfId="17338"/>
    <cellStyle name="Currency 3 6 2 2 3 2 4" xfId="17339"/>
    <cellStyle name="Currency 3 6 2 2 3 3" xfId="17340"/>
    <cellStyle name="Currency 3 6 2 2 3 3 2" xfId="17341"/>
    <cellStyle name="Currency 3 6 2 2 3 3 2 2" xfId="17342"/>
    <cellStyle name="Currency 3 6 2 2 3 3 3" xfId="17343"/>
    <cellStyle name="Currency 3 6 2 2 3 4" xfId="17344"/>
    <cellStyle name="Currency 3 6 2 2 3 4 2" xfId="17345"/>
    <cellStyle name="Currency 3 6 2 2 3 4 3" xfId="17346"/>
    <cellStyle name="Currency 3 6 2 2 3 5" xfId="17347"/>
    <cellStyle name="Currency 3 6 2 2 3 5 2" xfId="17348"/>
    <cellStyle name="Currency 3 6 2 2 3 6" xfId="17349"/>
    <cellStyle name="Currency 3 6 2 2 3 6 2" xfId="36657"/>
    <cellStyle name="Currency 3 6 2 2 3 7" xfId="17350"/>
    <cellStyle name="Currency 3 6 2 2 4" xfId="17351"/>
    <cellStyle name="Currency 3 6 2 2 4 2" xfId="17352"/>
    <cellStyle name="Currency 3 6 2 2 4 2 2" xfId="17353"/>
    <cellStyle name="Currency 3 6 2 2 4 2 2 2" xfId="17354"/>
    <cellStyle name="Currency 3 6 2 2 4 2 3" xfId="17355"/>
    <cellStyle name="Currency 3 6 2 2 4 3" xfId="17356"/>
    <cellStyle name="Currency 3 6 2 2 4 3 2" xfId="17357"/>
    <cellStyle name="Currency 3 6 2 2 4 4" xfId="17358"/>
    <cellStyle name="Currency 3 6 2 2 5" xfId="17359"/>
    <cellStyle name="Currency 3 6 2 2 5 2" xfId="17360"/>
    <cellStyle name="Currency 3 6 2 2 5 2 2" xfId="17361"/>
    <cellStyle name="Currency 3 6 2 2 5 3" xfId="17362"/>
    <cellStyle name="Currency 3 6 2 2 6" xfId="17363"/>
    <cellStyle name="Currency 3 6 2 2 6 2" xfId="17364"/>
    <cellStyle name="Currency 3 6 2 2 6 2 2" xfId="17365"/>
    <cellStyle name="Currency 3 6 2 2 6 3" xfId="17366"/>
    <cellStyle name="Currency 3 6 2 2 7" xfId="17367"/>
    <cellStyle name="Currency 3 6 2 2 7 2" xfId="17368"/>
    <cellStyle name="Currency 3 6 2 2 8" xfId="17369"/>
    <cellStyle name="Currency 3 6 2 2 8 2" xfId="36658"/>
    <cellStyle name="Currency 3 6 2 2 9" xfId="17370"/>
    <cellStyle name="Currency 3 6 2 3" xfId="17371"/>
    <cellStyle name="Currency 3 6 2 3 2" xfId="17372"/>
    <cellStyle name="Currency 3 6 2 3 2 2" xfId="17373"/>
    <cellStyle name="Currency 3 6 2 3 2 2 2" xfId="17374"/>
    <cellStyle name="Currency 3 6 2 3 2 2 2 2" xfId="17375"/>
    <cellStyle name="Currency 3 6 2 3 2 2 2 3" xfId="17376"/>
    <cellStyle name="Currency 3 6 2 3 2 2 3" xfId="17377"/>
    <cellStyle name="Currency 3 6 2 3 2 2 3 2" xfId="17378"/>
    <cellStyle name="Currency 3 6 2 3 2 2 4" xfId="17379"/>
    <cellStyle name="Currency 3 6 2 3 2 3" xfId="17380"/>
    <cellStyle name="Currency 3 6 2 3 2 3 2" xfId="17381"/>
    <cellStyle name="Currency 3 6 2 3 2 3 2 2" xfId="17382"/>
    <cellStyle name="Currency 3 6 2 3 2 3 3" xfId="17383"/>
    <cellStyle name="Currency 3 6 2 3 2 4" xfId="17384"/>
    <cellStyle name="Currency 3 6 2 3 2 4 2" xfId="17385"/>
    <cellStyle name="Currency 3 6 2 3 2 4 3" xfId="17386"/>
    <cellStyle name="Currency 3 6 2 3 2 5" xfId="17387"/>
    <cellStyle name="Currency 3 6 2 3 2 5 2" xfId="17388"/>
    <cellStyle name="Currency 3 6 2 3 2 6" xfId="17389"/>
    <cellStyle name="Currency 3 6 2 3 2 6 2" xfId="36659"/>
    <cellStyle name="Currency 3 6 2 3 2 7" xfId="17390"/>
    <cellStyle name="Currency 3 6 2 3 3" xfId="17391"/>
    <cellStyle name="Currency 3 6 2 3 3 2" xfId="17392"/>
    <cellStyle name="Currency 3 6 2 3 3 2 2" xfId="17393"/>
    <cellStyle name="Currency 3 6 2 3 3 2 2 2" xfId="17394"/>
    <cellStyle name="Currency 3 6 2 3 3 2 3" xfId="17395"/>
    <cellStyle name="Currency 3 6 2 3 3 3" xfId="17396"/>
    <cellStyle name="Currency 3 6 2 3 3 3 2" xfId="17397"/>
    <cellStyle name="Currency 3 6 2 3 3 4" xfId="17398"/>
    <cellStyle name="Currency 3 6 2 3 4" xfId="17399"/>
    <cellStyle name="Currency 3 6 2 3 4 2" xfId="17400"/>
    <cellStyle name="Currency 3 6 2 3 4 2 2" xfId="17401"/>
    <cellStyle name="Currency 3 6 2 3 4 3" xfId="17402"/>
    <cellStyle name="Currency 3 6 2 3 5" xfId="17403"/>
    <cellStyle name="Currency 3 6 2 3 5 2" xfId="17404"/>
    <cellStyle name="Currency 3 6 2 3 5 2 2" xfId="17405"/>
    <cellStyle name="Currency 3 6 2 3 5 3" xfId="17406"/>
    <cellStyle name="Currency 3 6 2 3 6" xfId="17407"/>
    <cellStyle name="Currency 3 6 2 3 6 2" xfId="17408"/>
    <cellStyle name="Currency 3 6 2 3 7" xfId="17409"/>
    <cellStyle name="Currency 3 6 2 3 7 2" xfId="36660"/>
    <cellStyle name="Currency 3 6 2 3 8" xfId="17410"/>
    <cellStyle name="Currency 3 6 2 4" xfId="17411"/>
    <cellStyle name="Currency 3 6 2 4 2" xfId="17412"/>
    <cellStyle name="Currency 3 6 2 4 2 2" xfId="17413"/>
    <cellStyle name="Currency 3 6 2 4 2 2 2" xfId="17414"/>
    <cellStyle name="Currency 3 6 2 4 2 2 3" xfId="17415"/>
    <cellStyle name="Currency 3 6 2 4 2 3" xfId="17416"/>
    <cellStyle name="Currency 3 6 2 4 2 3 2" xfId="17417"/>
    <cellStyle name="Currency 3 6 2 4 2 4" xfId="17418"/>
    <cellStyle name="Currency 3 6 2 4 3" xfId="17419"/>
    <cellStyle name="Currency 3 6 2 4 3 2" xfId="17420"/>
    <cellStyle name="Currency 3 6 2 4 3 2 2" xfId="17421"/>
    <cellStyle name="Currency 3 6 2 4 3 3" xfId="17422"/>
    <cellStyle name="Currency 3 6 2 4 4" xfId="17423"/>
    <cellStyle name="Currency 3 6 2 4 4 2" xfId="17424"/>
    <cellStyle name="Currency 3 6 2 4 4 3" xfId="17425"/>
    <cellStyle name="Currency 3 6 2 4 5" xfId="17426"/>
    <cellStyle name="Currency 3 6 2 4 5 2" xfId="17427"/>
    <cellStyle name="Currency 3 6 2 4 6" xfId="17428"/>
    <cellStyle name="Currency 3 6 2 4 6 2" xfId="36661"/>
    <cellStyle name="Currency 3 6 2 4 7" xfId="17429"/>
    <cellStyle name="Currency 3 6 2 5" xfId="17430"/>
    <cellStyle name="Currency 3 6 2 5 2" xfId="17431"/>
    <cellStyle name="Currency 3 6 2 5 2 2" xfId="17432"/>
    <cellStyle name="Currency 3 6 2 5 2 2 2" xfId="17433"/>
    <cellStyle name="Currency 3 6 2 5 2 3" xfId="17434"/>
    <cellStyle name="Currency 3 6 2 5 3" xfId="17435"/>
    <cellStyle name="Currency 3 6 2 5 3 2" xfId="17436"/>
    <cellStyle name="Currency 3 6 2 5 4" xfId="17437"/>
    <cellStyle name="Currency 3 6 2 6" xfId="17438"/>
    <cellStyle name="Currency 3 6 2 6 2" xfId="17439"/>
    <cellStyle name="Currency 3 6 2 6 2 2" xfId="17440"/>
    <cellStyle name="Currency 3 6 2 6 3" xfId="17441"/>
    <cellStyle name="Currency 3 6 2 7" xfId="17442"/>
    <cellStyle name="Currency 3 6 2 7 2" xfId="17443"/>
    <cellStyle name="Currency 3 6 2 7 2 2" xfId="17444"/>
    <cellStyle name="Currency 3 6 2 7 3" xfId="17445"/>
    <cellStyle name="Currency 3 6 2 8" xfId="17446"/>
    <cellStyle name="Currency 3 6 2 8 2" xfId="17447"/>
    <cellStyle name="Currency 3 6 2 9" xfId="17448"/>
    <cellStyle name="Currency 3 6 2 9 2" xfId="36662"/>
    <cellStyle name="Currency 3 6 3" xfId="17449"/>
    <cellStyle name="Currency 3 6 3 2" xfId="17450"/>
    <cellStyle name="Currency 3 6 3 2 2" xfId="17451"/>
    <cellStyle name="Currency 3 6 3 2 2 2" xfId="17452"/>
    <cellStyle name="Currency 3 6 3 2 2 2 2" xfId="17453"/>
    <cellStyle name="Currency 3 6 3 2 2 2 2 2" xfId="17454"/>
    <cellStyle name="Currency 3 6 3 2 2 2 2 3" xfId="17455"/>
    <cellStyle name="Currency 3 6 3 2 2 2 3" xfId="17456"/>
    <cellStyle name="Currency 3 6 3 2 2 2 3 2" xfId="17457"/>
    <cellStyle name="Currency 3 6 3 2 2 2 4" xfId="17458"/>
    <cellStyle name="Currency 3 6 3 2 2 3" xfId="17459"/>
    <cellStyle name="Currency 3 6 3 2 2 3 2" xfId="17460"/>
    <cellStyle name="Currency 3 6 3 2 2 3 2 2" xfId="17461"/>
    <cellStyle name="Currency 3 6 3 2 2 3 3" xfId="17462"/>
    <cellStyle name="Currency 3 6 3 2 2 4" xfId="17463"/>
    <cellStyle name="Currency 3 6 3 2 2 4 2" xfId="17464"/>
    <cellStyle name="Currency 3 6 3 2 2 4 3" xfId="17465"/>
    <cellStyle name="Currency 3 6 3 2 2 5" xfId="17466"/>
    <cellStyle name="Currency 3 6 3 2 2 5 2" xfId="17467"/>
    <cellStyle name="Currency 3 6 3 2 2 6" xfId="17468"/>
    <cellStyle name="Currency 3 6 3 2 2 6 2" xfId="36663"/>
    <cellStyle name="Currency 3 6 3 2 2 7" xfId="17469"/>
    <cellStyle name="Currency 3 6 3 2 3" xfId="17470"/>
    <cellStyle name="Currency 3 6 3 2 3 2" xfId="17471"/>
    <cellStyle name="Currency 3 6 3 2 3 2 2" xfId="17472"/>
    <cellStyle name="Currency 3 6 3 2 3 2 2 2" xfId="17473"/>
    <cellStyle name="Currency 3 6 3 2 3 2 3" xfId="17474"/>
    <cellStyle name="Currency 3 6 3 2 3 3" xfId="17475"/>
    <cellStyle name="Currency 3 6 3 2 3 3 2" xfId="17476"/>
    <cellStyle name="Currency 3 6 3 2 3 4" xfId="17477"/>
    <cellStyle name="Currency 3 6 3 2 4" xfId="17478"/>
    <cellStyle name="Currency 3 6 3 2 4 2" xfId="17479"/>
    <cellStyle name="Currency 3 6 3 2 4 2 2" xfId="17480"/>
    <cellStyle name="Currency 3 6 3 2 4 3" xfId="17481"/>
    <cellStyle name="Currency 3 6 3 2 5" xfId="17482"/>
    <cellStyle name="Currency 3 6 3 2 5 2" xfId="17483"/>
    <cellStyle name="Currency 3 6 3 2 5 2 2" xfId="17484"/>
    <cellStyle name="Currency 3 6 3 2 5 3" xfId="17485"/>
    <cellStyle name="Currency 3 6 3 2 6" xfId="17486"/>
    <cellStyle name="Currency 3 6 3 2 6 2" xfId="17487"/>
    <cellStyle name="Currency 3 6 3 2 7" xfId="17488"/>
    <cellStyle name="Currency 3 6 3 2 7 2" xfId="36664"/>
    <cellStyle name="Currency 3 6 3 2 8" xfId="17489"/>
    <cellStyle name="Currency 3 6 3 3" xfId="17490"/>
    <cellStyle name="Currency 3 6 3 3 2" xfId="17491"/>
    <cellStyle name="Currency 3 6 3 3 2 2" xfId="17492"/>
    <cellStyle name="Currency 3 6 3 3 2 2 2" xfId="17493"/>
    <cellStyle name="Currency 3 6 3 3 2 2 3" xfId="17494"/>
    <cellStyle name="Currency 3 6 3 3 2 3" xfId="17495"/>
    <cellStyle name="Currency 3 6 3 3 2 3 2" xfId="17496"/>
    <cellStyle name="Currency 3 6 3 3 2 4" xfId="17497"/>
    <cellStyle name="Currency 3 6 3 3 3" xfId="17498"/>
    <cellStyle name="Currency 3 6 3 3 3 2" xfId="17499"/>
    <cellStyle name="Currency 3 6 3 3 3 2 2" xfId="17500"/>
    <cellStyle name="Currency 3 6 3 3 3 3" xfId="17501"/>
    <cellStyle name="Currency 3 6 3 3 4" xfId="17502"/>
    <cellStyle name="Currency 3 6 3 3 4 2" xfId="17503"/>
    <cellStyle name="Currency 3 6 3 3 4 3" xfId="17504"/>
    <cellStyle name="Currency 3 6 3 3 5" xfId="17505"/>
    <cellStyle name="Currency 3 6 3 3 5 2" xfId="17506"/>
    <cellStyle name="Currency 3 6 3 3 6" xfId="17507"/>
    <cellStyle name="Currency 3 6 3 3 6 2" xfId="36665"/>
    <cellStyle name="Currency 3 6 3 3 7" xfId="17508"/>
    <cellStyle name="Currency 3 6 3 4" xfId="17509"/>
    <cellStyle name="Currency 3 6 3 4 2" xfId="17510"/>
    <cellStyle name="Currency 3 6 3 4 2 2" xfId="17511"/>
    <cellStyle name="Currency 3 6 3 4 2 2 2" xfId="17512"/>
    <cellStyle name="Currency 3 6 3 4 2 3" xfId="17513"/>
    <cellStyle name="Currency 3 6 3 4 3" xfId="17514"/>
    <cellStyle name="Currency 3 6 3 4 3 2" xfId="17515"/>
    <cellStyle name="Currency 3 6 3 4 4" xfId="17516"/>
    <cellStyle name="Currency 3 6 3 5" xfId="17517"/>
    <cellStyle name="Currency 3 6 3 5 2" xfId="17518"/>
    <cellStyle name="Currency 3 6 3 5 2 2" xfId="17519"/>
    <cellStyle name="Currency 3 6 3 5 3" xfId="17520"/>
    <cellStyle name="Currency 3 6 3 6" xfId="17521"/>
    <cellStyle name="Currency 3 6 3 6 2" xfId="17522"/>
    <cellStyle name="Currency 3 6 3 6 2 2" xfId="17523"/>
    <cellStyle name="Currency 3 6 3 6 3" xfId="17524"/>
    <cellStyle name="Currency 3 6 3 7" xfId="17525"/>
    <cellStyle name="Currency 3 6 3 7 2" xfId="17526"/>
    <cellStyle name="Currency 3 6 3 8" xfId="17527"/>
    <cellStyle name="Currency 3 6 3 8 2" xfId="36666"/>
    <cellStyle name="Currency 3 6 3 9" xfId="17528"/>
    <cellStyle name="Currency 3 6 4" xfId="17529"/>
    <cellStyle name="Currency 3 6 4 2" xfId="17530"/>
    <cellStyle name="Currency 3 6 4 2 2" xfId="17531"/>
    <cellStyle name="Currency 3 6 4 2 2 2" xfId="17532"/>
    <cellStyle name="Currency 3 6 4 2 2 2 2" xfId="17533"/>
    <cellStyle name="Currency 3 6 4 2 2 2 3" xfId="17534"/>
    <cellStyle name="Currency 3 6 4 2 2 3" xfId="17535"/>
    <cellStyle name="Currency 3 6 4 2 2 3 2" xfId="17536"/>
    <cellStyle name="Currency 3 6 4 2 2 4" xfId="17537"/>
    <cellStyle name="Currency 3 6 4 2 3" xfId="17538"/>
    <cellStyle name="Currency 3 6 4 2 3 2" xfId="17539"/>
    <cellStyle name="Currency 3 6 4 2 3 2 2" xfId="17540"/>
    <cellStyle name="Currency 3 6 4 2 3 3" xfId="17541"/>
    <cellStyle name="Currency 3 6 4 2 4" xfId="17542"/>
    <cellStyle name="Currency 3 6 4 2 4 2" xfId="17543"/>
    <cellStyle name="Currency 3 6 4 2 4 3" xfId="17544"/>
    <cellStyle name="Currency 3 6 4 2 5" xfId="17545"/>
    <cellStyle name="Currency 3 6 4 2 5 2" xfId="17546"/>
    <cellStyle name="Currency 3 6 4 2 6" xfId="17547"/>
    <cellStyle name="Currency 3 6 4 2 6 2" xfId="36667"/>
    <cellStyle name="Currency 3 6 4 2 7" xfId="17548"/>
    <cellStyle name="Currency 3 6 4 3" xfId="17549"/>
    <cellStyle name="Currency 3 6 4 3 2" xfId="17550"/>
    <cellStyle name="Currency 3 6 4 3 2 2" xfId="17551"/>
    <cellStyle name="Currency 3 6 4 3 2 2 2" xfId="17552"/>
    <cellStyle name="Currency 3 6 4 3 2 3" xfId="17553"/>
    <cellStyle name="Currency 3 6 4 3 3" xfId="17554"/>
    <cellStyle name="Currency 3 6 4 3 3 2" xfId="17555"/>
    <cellStyle name="Currency 3 6 4 3 4" xfId="17556"/>
    <cellStyle name="Currency 3 6 4 4" xfId="17557"/>
    <cellStyle name="Currency 3 6 4 4 2" xfId="17558"/>
    <cellStyle name="Currency 3 6 4 4 2 2" xfId="17559"/>
    <cellStyle name="Currency 3 6 4 4 3" xfId="17560"/>
    <cellStyle name="Currency 3 6 4 5" xfId="17561"/>
    <cellStyle name="Currency 3 6 4 5 2" xfId="17562"/>
    <cellStyle name="Currency 3 6 4 5 2 2" xfId="17563"/>
    <cellStyle name="Currency 3 6 4 5 3" xfId="17564"/>
    <cellStyle name="Currency 3 6 4 6" xfId="17565"/>
    <cellStyle name="Currency 3 6 4 6 2" xfId="17566"/>
    <cellStyle name="Currency 3 6 4 7" xfId="17567"/>
    <cellStyle name="Currency 3 6 4 7 2" xfId="36668"/>
    <cellStyle name="Currency 3 6 4 8" xfId="17568"/>
    <cellStyle name="Currency 3 6 5" xfId="17569"/>
    <cellStyle name="Currency 3 6 5 2" xfId="17570"/>
    <cellStyle name="Currency 3 6 5 2 2" xfId="17571"/>
    <cellStyle name="Currency 3 6 5 2 2 2" xfId="17572"/>
    <cellStyle name="Currency 3 6 5 2 2 2 2" xfId="17573"/>
    <cellStyle name="Currency 3 6 5 2 2 2 3" xfId="17574"/>
    <cellStyle name="Currency 3 6 5 2 2 3" xfId="17575"/>
    <cellStyle name="Currency 3 6 5 2 2 3 2" xfId="17576"/>
    <cellStyle name="Currency 3 6 5 2 2 4" xfId="17577"/>
    <cellStyle name="Currency 3 6 5 2 3" xfId="17578"/>
    <cellStyle name="Currency 3 6 5 2 3 2" xfId="17579"/>
    <cellStyle name="Currency 3 6 5 2 3 2 2" xfId="17580"/>
    <cellStyle name="Currency 3 6 5 2 3 3" xfId="17581"/>
    <cellStyle name="Currency 3 6 5 2 4" xfId="17582"/>
    <cellStyle name="Currency 3 6 5 2 4 2" xfId="17583"/>
    <cellStyle name="Currency 3 6 5 2 4 3" xfId="17584"/>
    <cellStyle name="Currency 3 6 5 2 5" xfId="17585"/>
    <cellStyle name="Currency 3 6 5 2 5 2" xfId="17586"/>
    <cellStyle name="Currency 3 6 5 2 6" xfId="17587"/>
    <cellStyle name="Currency 3 6 5 2 6 2" xfId="36669"/>
    <cellStyle name="Currency 3 6 5 2 7" xfId="17588"/>
    <cellStyle name="Currency 3 6 5 3" xfId="17589"/>
    <cellStyle name="Currency 3 6 5 3 2" xfId="17590"/>
    <cellStyle name="Currency 3 6 5 3 2 2" xfId="17591"/>
    <cellStyle name="Currency 3 6 5 3 2 2 2" xfId="17592"/>
    <cellStyle name="Currency 3 6 5 3 2 3" xfId="17593"/>
    <cellStyle name="Currency 3 6 5 3 3" xfId="17594"/>
    <cellStyle name="Currency 3 6 5 3 3 2" xfId="17595"/>
    <cellStyle name="Currency 3 6 5 3 4" xfId="17596"/>
    <cellStyle name="Currency 3 6 5 4" xfId="17597"/>
    <cellStyle name="Currency 3 6 5 4 2" xfId="17598"/>
    <cellStyle name="Currency 3 6 5 4 2 2" xfId="17599"/>
    <cellStyle name="Currency 3 6 5 4 3" xfId="17600"/>
    <cellStyle name="Currency 3 6 5 5" xfId="17601"/>
    <cellStyle name="Currency 3 6 5 5 2" xfId="17602"/>
    <cellStyle name="Currency 3 6 5 5 2 2" xfId="17603"/>
    <cellStyle name="Currency 3 6 5 5 3" xfId="17604"/>
    <cellStyle name="Currency 3 6 5 6" xfId="17605"/>
    <cellStyle name="Currency 3 6 5 6 2" xfId="17606"/>
    <cellStyle name="Currency 3 6 5 7" xfId="17607"/>
    <cellStyle name="Currency 3 6 5 7 2" xfId="36670"/>
    <cellStyle name="Currency 3 6 5 8" xfId="17608"/>
    <cellStyle name="Currency 3 6 6" xfId="17609"/>
    <cellStyle name="Currency 3 6 7" xfId="17610"/>
    <cellStyle name="Currency 3 6 7 2" xfId="17611"/>
    <cellStyle name="Currency 3 6 7 2 2" xfId="17612"/>
    <cellStyle name="Currency 3 6 7 2 2 2" xfId="17613"/>
    <cellStyle name="Currency 3 6 7 2 2 3" xfId="17614"/>
    <cellStyle name="Currency 3 6 7 2 3" xfId="17615"/>
    <cellStyle name="Currency 3 6 7 2 3 2" xfId="17616"/>
    <cellStyle name="Currency 3 6 7 2 4" xfId="17617"/>
    <cellStyle name="Currency 3 6 7 3" xfId="17618"/>
    <cellStyle name="Currency 3 6 7 3 2" xfId="17619"/>
    <cellStyle name="Currency 3 6 7 3 2 2" xfId="17620"/>
    <cellStyle name="Currency 3 6 7 3 3" xfId="17621"/>
    <cellStyle name="Currency 3 6 7 4" xfId="17622"/>
    <cellStyle name="Currency 3 6 7 4 2" xfId="17623"/>
    <cellStyle name="Currency 3 6 7 4 3" xfId="17624"/>
    <cellStyle name="Currency 3 6 7 5" xfId="17625"/>
    <cellStyle name="Currency 3 6 7 5 2" xfId="17626"/>
    <cellStyle name="Currency 3 6 7 6" xfId="17627"/>
    <cellStyle name="Currency 3 6 7 6 2" xfId="36671"/>
    <cellStyle name="Currency 3 6 7 7" xfId="17628"/>
    <cellStyle name="Currency 3 6 8" xfId="17629"/>
    <cellStyle name="Currency 3 6 8 2" xfId="17630"/>
    <cellStyle name="Currency 3 6 8 2 2" xfId="17631"/>
    <cellStyle name="Currency 3 6 8 2 2 2" xfId="17632"/>
    <cellStyle name="Currency 3 6 8 2 3" xfId="17633"/>
    <cellStyle name="Currency 3 6 8 3" xfId="17634"/>
    <cellStyle name="Currency 3 6 8 3 2" xfId="17635"/>
    <cellStyle name="Currency 3 6 8 4" xfId="17636"/>
    <cellStyle name="Currency 3 6 9" xfId="17637"/>
    <cellStyle name="Currency 3 6 9 2" xfId="17638"/>
    <cellStyle name="Currency 3 6 9 2 2" xfId="17639"/>
    <cellStyle name="Currency 3 6 9 3" xfId="17640"/>
    <cellStyle name="Currency 3 7" xfId="17641"/>
    <cellStyle name="Currency 3 7 10" xfId="17642"/>
    <cellStyle name="Currency 3 7 2" xfId="17643"/>
    <cellStyle name="Currency 3 7 2 2" xfId="17644"/>
    <cellStyle name="Currency 3 7 2 2 2" xfId="17645"/>
    <cellStyle name="Currency 3 7 2 2 2 2" xfId="17646"/>
    <cellStyle name="Currency 3 7 2 2 2 2 2" xfId="17647"/>
    <cellStyle name="Currency 3 7 2 2 2 2 2 2" xfId="17648"/>
    <cellStyle name="Currency 3 7 2 2 2 2 2 3" xfId="17649"/>
    <cellStyle name="Currency 3 7 2 2 2 2 3" xfId="17650"/>
    <cellStyle name="Currency 3 7 2 2 2 2 3 2" xfId="17651"/>
    <cellStyle name="Currency 3 7 2 2 2 2 4" xfId="17652"/>
    <cellStyle name="Currency 3 7 2 2 2 3" xfId="17653"/>
    <cellStyle name="Currency 3 7 2 2 2 3 2" xfId="17654"/>
    <cellStyle name="Currency 3 7 2 2 2 3 2 2" xfId="17655"/>
    <cellStyle name="Currency 3 7 2 2 2 3 3" xfId="17656"/>
    <cellStyle name="Currency 3 7 2 2 2 4" xfId="17657"/>
    <cellStyle name="Currency 3 7 2 2 2 4 2" xfId="17658"/>
    <cellStyle name="Currency 3 7 2 2 2 4 3" xfId="17659"/>
    <cellStyle name="Currency 3 7 2 2 2 5" xfId="17660"/>
    <cellStyle name="Currency 3 7 2 2 2 5 2" xfId="17661"/>
    <cellStyle name="Currency 3 7 2 2 2 6" xfId="17662"/>
    <cellStyle name="Currency 3 7 2 2 2 6 2" xfId="36672"/>
    <cellStyle name="Currency 3 7 2 2 2 7" xfId="17663"/>
    <cellStyle name="Currency 3 7 2 2 3" xfId="17664"/>
    <cellStyle name="Currency 3 7 2 2 3 2" xfId="17665"/>
    <cellStyle name="Currency 3 7 2 2 3 2 2" xfId="17666"/>
    <cellStyle name="Currency 3 7 2 2 3 2 2 2" xfId="17667"/>
    <cellStyle name="Currency 3 7 2 2 3 2 3" xfId="17668"/>
    <cellStyle name="Currency 3 7 2 2 3 3" xfId="17669"/>
    <cellStyle name="Currency 3 7 2 2 3 3 2" xfId="17670"/>
    <cellStyle name="Currency 3 7 2 2 3 4" xfId="17671"/>
    <cellStyle name="Currency 3 7 2 2 4" xfId="17672"/>
    <cellStyle name="Currency 3 7 2 2 4 2" xfId="17673"/>
    <cellStyle name="Currency 3 7 2 2 4 2 2" xfId="17674"/>
    <cellStyle name="Currency 3 7 2 2 4 3" xfId="17675"/>
    <cellStyle name="Currency 3 7 2 2 5" xfId="17676"/>
    <cellStyle name="Currency 3 7 2 2 5 2" xfId="17677"/>
    <cellStyle name="Currency 3 7 2 2 5 2 2" xfId="17678"/>
    <cellStyle name="Currency 3 7 2 2 5 3" xfId="17679"/>
    <cellStyle name="Currency 3 7 2 2 6" xfId="17680"/>
    <cellStyle name="Currency 3 7 2 2 6 2" xfId="17681"/>
    <cellStyle name="Currency 3 7 2 2 7" xfId="17682"/>
    <cellStyle name="Currency 3 7 2 2 7 2" xfId="36673"/>
    <cellStyle name="Currency 3 7 2 2 8" xfId="17683"/>
    <cellStyle name="Currency 3 7 2 3" xfId="17684"/>
    <cellStyle name="Currency 3 7 2 3 2" xfId="17685"/>
    <cellStyle name="Currency 3 7 2 3 2 2" xfId="17686"/>
    <cellStyle name="Currency 3 7 2 3 2 2 2" xfId="17687"/>
    <cellStyle name="Currency 3 7 2 3 2 2 3" xfId="17688"/>
    <cellStyle name="Currency 3 7 2 3 2 3" xfId="17689"/>
    <cellStyle name="Currency 3 7 2 3 2 3 2" xfId="17690"/>
    <cellStyle name="Currency 3 7 2 3 2 4" xfId="17691"/>
    <cellStyle name="Currency 3 7 2 3 3" xfId="17692"/>
    <cellStyle name="Currency 3 7 2 3 3 2" xfId="17693"/>
    <cellStyle name="Currency 3 7 2 3 3 2 2" xfId="17694"/>
    <cellStyle name="Currency 3 7 2 3 3 3" xfId="17695"/>
    <cellStyle name="Currency 3 7 2 3 4" xfId="17696"/>
    <cellStyle name="Currency 3 7 2 3 4 2" xfId="17697"/>
    <cellStyle name="Currency 3 7 2 3 4 3" xfId="17698"/>
    <cellStyle name="Currency 3 7 2 3 5" xfId="17699"/>
    <cellStyle name="Currency 3 7 2 3 5 2" xfId="17700"/>
    <cellStyle name="Currency 3 7 2 3 6" xfId="17701"/>
    <cellStyle name="Currency 3 7 2 3 6 2" xfId="36674"/>
    <cellStyle name="Currency 3 7 2 3 7" xfId="17702"/>
    <cellStyle name="Currency 3 7 2 4" xfId="17703"/>
    <cellStyle name="Currency 3 7 2 4 2" xfId="17704"/>
    <cellStyle name="Currency 3 7 2 4 2 2" xfId="17705"/>
    <cellStyle name="Currency 3 7 2 4 2 2 2" xfId="17706"/>
    <cellStyle name="Currency 3 7 2 4 2 3" xfId="17707"/>
    <cellStyle name="Currency 3 7 2 4 3" xfId="17708"/>
    <cellStyle name="Currency 3 7 2 4 3 2" xfId="17709"/>
    <cellStyle name="Currency 3 7 2 4 4" xfId="17710"/>
    <cellStyle name="Currency 3 7 2 5" xfId="17711"/>
    <cellStyle name="Currency 3 7 2 5 2" xfId="17712"/>
    <cellStyle name="Currency 3 7 2 5 2 2" xfId="17713"/>
    <cellStyle name="Currency 3 7 2 5 3" xfId="17714"/>
    <cellStyle name="Currency 3 7 2 6" xfId="17715"/>
    <cellStyle name="Currency 3 7 2 6 2" xfId="17716"/>
    <cellStyle name="Currency 3 7 2 6 2 2" xfId="17717"/>
    <cellStyle name="Currency 3 7 2 6 3" xfId="17718"/>
    <cellStyle name="Currency 3 7 2 7" xfId="17719"/>
    <cellStyle name="Currency 3 7 2 7 2" xfId="17720"/>
    <cellStyle name="Currency 3 7 2 8" xfId="17721"/>
    <cellStyle name="Currency 3 7 2 8 2" xfId="36675"/>
    <cellStyle name="Currency 3 7 2 9" xfId="17722"/>
    <cellStyle name="Currency 3 7 3" xfId="17723"/>
    <cellStyle name="Currency 3 7 3 2" xfId="17724"/>
    <cellStyle name="Currency 3 7 3 2 2" xfId="17725"/>
    <cellStyle name="Currency 3 7 3 2 2 2" xfId="17726"/>
    <cellStyle name="Currency 3 7 3 2 2 2 2" xfId="17727"/>
    <cellStyle name="Currency 3 7 3 2 2 2 3" xfId="17728"/>
    <cellStyle name="Currency 3 7 3 2 2 3" xfId="17729"/>
    <cellStyle name="Currency 3 7 3 2 2 3 2" xfId="17730"/>
    <cellStyle name="Currency 3 7 3 2 2 4" xfId="17731"/>
    <cellStyle name="Currency 3 7 3 2 3" xfId="17732"/>
    <cellStyle name="Currency 3 7 3 2 3 2" xfId="17733"/>
    <cellStyle name="Currency 3 7 3 2 3 2 2" xfId="17734"/>
    <cellStyle name="Currency 3 7 3 2 3 3" xfId="17735"/>
    <cellStyle name="Currency 3 7 3 2 4" xfId="17736"/>
    <cellStyle name="Currency 3 7 3 2 4 2" xfId="17737"/>
    <cellStyle name="Currency 3 7 3 2 4 3" xfId="17738"/>
    <cellStyle name="Currency 3 7 3 2 5" xfId="17739"/>
    <cellStyle name="Currency 3 7 3 2 5 2" xfId="17740"/>
    <cellStyle name="Currency 3 7 3 2 6" xfId="17741"/>
    <cellStyle name="Currency 3 7 3 2 6 2" xfId="36676"/>
    <cellStyle name="Currency 3 7 3 2 7" xfId="17742"/>
    <cellStyle name="Currency 3 7 3 3" xfId="17743"/>
    <cellStyle name="Currency 3 7 3 3 2" xfId="17744"/>
    <cellStyle name="Currency 3 7 3 3 2 2" xfId="17745"/>
    <cellStyle name="Currency 3 7 3 3 2 2 2" xfId="17746"/>
    <cellStyle name="Currency 3 7 3 3 2 3" xfId="17747"/>
    <cellStyle name="Currency 3 7 3 3 3" xfId="17748"/>
    <cellStyle name="Currency 3 7 3 3 3 2" xfId="17749"/>
    <cellStyle name="Currency 3 7 3 3 4" xfId="17750"/>
    <cellStyle name="Currency 3 7 3 4" xfId="17751"/>
    <cellStyle name="Currency 3 7 3 4 2" xfId="17752"/>
    <cellStyle name="Currency 3 7 3 4 2 2" xfId="17753"/>
    <cellStyle name="Currency 3 7 3 4 3" xfId="17754"/>
    <cellStyle name="Currency 3 7 3 5" xfId="17755"/>
    <cellStyle name="Currency 3 7 3 5 2" xfId="17756"/>
    <cellStyle name="Currency 3 7 3 5 2 2" xfId="17757"/>
    <cellStyle name="Currency 3 7 3 5 3" xfId="17758"/>
    <cellStyle name="Currency 3 7 3 6" xfId="17759"/>
    <cellStyle name="Currency 3 7 3 6 2" xfId="17760"/>
    <cellStyle name="Currency 3 7 3 7" xfId="17761"/>
    <cellStyle name="Currency 3 7 3 7 2" xfId="36677"/>
    <cellStyle name="Currency 3 7 3 8" xfId="17762"/>
    <cellStyle name="Currency 3 7 4" xfId="17763"/>
    <cellStyle name="Currency 3 7 4 2" xfId="17764"/>
    <cellStyle name="Currency 3 7 4 2 2" xfId="17765"/>
    <cellStyle name="Currency 3 7 4 2 2 2" xfId="17766"/>
    <cellStyle name="Currency 3 7 4 2 2 3" xfId="17767"/>
    <cellStyle name="Currency 3 7 4 2 3" xfId="17768"/>
    <cellStyle name="Currency 3 7 4 2 3 2" xfId="17769"/>
    <cellStyle name="Currency 3 7 4 2 4" xfId="17770"/>
    <cellStyle name="Currency 3 7 4 3" xfId="17771"/>
    <cellStyle name="Currency 3 7 4 3 2" xfId="17772"/>
    <cellStyle name="Currency 3 7 4 3 2 2" xfId="17773"/>
    <cellStyle name="Currency 3 7 4 3 3" xfId="17774"/>
    <cellStyle name="Currency 3 7 4 4" xfId="17775"/>
    <cellStyle name="Currency 3 7 4 4 2" xfId="17776"/>
    <cellStyle name="Currency 3 7 4 4 3" xfId="17777"/>
    <cellStyle name="Currency 3 7 4 5" xfId="17778"/>
    <cellStyle name="Currency 3 7 4 5 2" xfId="17779"/>
    <cellStyle name="Currency 3 7 4 6" xfId="17780"/>
    <cellStyle name="Currency 3 7 4 6 2" xfId="36678"/>
    <cellStyle name="Currency 3 7 4 7" xfId="17781"/>
    <cellStyle name="Currency 3 7 5" xfId="17782"/>
    <cellStyle name="Currency 3 7 5 2" xfId="17783"/>
    <cellStyle name="Currency 3 7 5 2 2" xfId="17784"/>
    <cellStyle name="Currency 3 7 5 2 2 2" xfId="17785"/>
    <cellStyle name="Currency 3 7 5 2 3" xfId="17786"/>
    <cellStyle name="Currency 3 7 5 3" xfId="17787"/>
    <cellStyle name="Currency 3 7 5 3 2" xfId="17788"/>
    <cellStyle name="Currency 3 7 5 4" xfId="17789"/>
    <cellStyle name="Currency 3 7 6" xfId="17790"/>
    <cellStyle name="Currency 3 7 6 2" xfId="17791"/>
    <cellStyle name="Currency 3 7 6 2 2" xfId="17792"/>
    <cellStyle name="Currency 3 7 6 3" xfId="17793"/>
    <cellStyle name="Currency 3 7 7" xfId="17794"/>
    <cellStyle name="Currency 3 7 7 2" xfId="17795"/>
    <cellStyle name="Currency 3 7 7 2 2" xfId="17796"/>
    <cellStyle name="Currency 3 7 7 3" xfId="17797"/>
    <cellStyle name="Currency 3 7 8" xfId="17798"/>
    <cellStyle name="Currency 3 7 8 2" xfId="17799"/>
    <cellStyle name="Currency 3 7 9" xfId="17800"/>
    <cellStyle name="Currency 3 7 9 2" xfId="36679"/>
    <cellStyle name="Currency 3 8" xfId="17801"/>
    <cellStyle name="Currency 3 8 2" xfId="17802"/>
    <cellStyle name="Currency 3 8 2 2" xfId="17803"/>
    <cellStyle name="Currency 3 8 2 2 2" xfId="17804"/>
    <cellStyle name="Currency 3 8 2 2 2 2" xfId="17805"/>
    <cellStyle name="Currency 3 8 2 2 2 2 2" xfId="17806"/>
    <cellStyle name="Currency 3 8 2 2 2 2 3" xfId="17807"/>
    <cellStyle name="Currency 3 8 2 2 2 3" xfId="17808"/>
    <cellStyle name="Currency 3 8 2 2 2 3 2" xfId="17809"/>
    <cellStyle name="Currency 3 8 2 2 2 4" xfId="17810"/>
    <cellStyle name="Currency 3 8 2 2 3" xfId="17811"/>
    <cellStyle name="Currency 3 8 2 2 3 2" xfId="17812"/>
    <cellStyle name="Currency 3 8 2 2 3 2 2" xfId="17813"/>
    <cellStyle name="Currency 3 8 2 2 3 3" xfId="17814"/>
    <cellStyle name="Currency 3 8 2 2 4" xfId="17815"/>
    <cellStyle name="Currency 3 8 2 2 4 2" xfId="17816"/>
    <cellStyle name="Currency 3 8 2 2 4 3" xfId="17817"/>
    <cellStyle name="Currency 3 8 2 2 5" xfId="17818"/>
    <cellStyle name="Currency 3 8 2 2 5 2" xfId="17819"/>
    <cellStyle name="Currency 3 8 2 2 6" xfId="17820"/>
    <cellStyle name="Currency 3 8 2 2 6 2" xfId="36680"/>
    <cellStyle name="Currency 3 8 2 2 7" xfId="17821"/>
    <cellStyle name="Currency 3 8 2 3" xfId="17822"/>
    <cellStyle name="Currency 3 8 2 3 2" xfId="17823"/>
    <cellStyle name="Currency 3 8 2 3 2 2" xfId="17824"/>
    <cellStyle name="Currency 3 8 2 3 2 2 2" xfId="17825"/>
    <cellStyle name="Currency 3 8 2 3 2 3" xfId="17826"/>
    <cellStyle name="Currency 3 8 2 3 3" xfId="17827"/>
    <cellStyle name="Currency 3 8 2 3 3 2" xfId="17828"/>
    <cellStyle name="Currency 3 8 2 3 4" xfId="17829"/>
    <cellStyle name="Currency 3 8 2 4" xfId="17830"/>
    <cellStyle name="Currency 3 8 2 4 2" xfId="17831"/>
    <cellStyle name="Currency 3 8 2 4 2 2" xfId="17832"/>
    <cellStyle name="Currency 3 8 2 4 3" xfId="17833"/>
    <cellStyle name="Currency 3 8 2 5" xfId="17834"/>
    <cellStyle name="Currency 3 8 2 5 2" xfId="17835"/>
    <cellStyle name="Currency 3 8 2 5 2 2" xfId="17836"/>
    <cellStyle name="Currency 3 8 2 5 3" xfId="17837"/>
    <cellStyle name="Currency 3 8 2 6" xfId="17838"/>
    <cellStyle name="Currency 3 8 2 6 2" xfId="17839"/>
    <cellStyle name="Currency 3 8 2 7" xfId="17840"/>
    <cellStyle name="Currency 3 8 2 7 2" xfId="36681"/>
    <cellStyle name="Currency 3 8 2 8" xfId="17841"/>
    <cellStyle name="Currency 3 8 3" xfId="17842"/>
    <cellStyle name="Currency 3 8 3 2" xfId="17843"/>
    <cellStyle name="Currency 3 8 3 2 2" xfId="17844"/>
    <cellStyle name="Currency 3 8 3 2 2 2" xfId="17845"/>
    <cellStyle name="Currency 3 8 3 2 2 3" xfId="17846"/>
    <cellStyle name="Currency 3 8 3 2 3" xfId="17847"/>
    <cellStyle name="Currency 3 8 3 2 3 2" xfId="17848"/>
    <cellStyle name="Currency 3 8 3 2 4" xfId="17849"/>
    <cellStyle name="Currency 3 8 3 3" xfId="17850"/>
    <cellStyle name="Currency 3 8 3 3 2" xfId="17851"/>
    <cellStyle name="Currency 3 8 3 3 2 2" xfId="17852"/>
    <cellStyle name="Currency 3 8 3 3 3" xfId="17853"/>
    <cellStyle name="Currency 3 8 3 4" xfId="17854"/>
    <cellStyle name="Currency 3 8 3 4 2" xfId="17855"/>
    <cellStyle name="Currency 3 8 3 4 3" xfId="17856"/>
    <cellStyle name="Currency 3 8 3 5" xfId="17857"/>
    <cellStyle name="Currency 3 8 3 5 2" xfId="17858"/>
    <cellStyle name="Currency 3 8 3 6" xfId="17859"/>
    <cellStyle name="Currency 3 8 3 6 2" xfId="36682"/>
    <cellStyle name="Currency 3 8 3 7" xfId="17860"/>
    <cellStyle name="Currency 3 8 4" xfId="17861"/>
    <cellStyle name="Currency 3 8 4 2" xfId="17862"/>
    <cellStyle name="Currency 3 8 4 2 2" xfId="17863"/>
    <cellStyle name="Currency 3 8 4 2 2 2" xfId="17864"/>
    <cellStyle name="Currency 3 8 4 2 3" xfId="17865"/>
    <cellStyle name="Currency 3 8 4 3" xfId="17866"/>
    <cellStyle name="Currency 3 8 4 3 2" xfId="17867"/>
    <cellStyle name="Currency 3 8 4 4" xfId="17868"/>
    <cellStyle name="Currency 3 8 5" xfId="17869"/>
    <cellStyle name="Currency 3 8 5 2" xfId="17870"/>
    <cellStyle name="Currency 3 8 5 2 2" xfId="17871"/>
    <cellStyle name="Currency 3 8 5 3" xfId="17872"/>
    <cellStyle name="Currency 3 8 6" xfId="17873"/>
    <cellStyle name="Currency 3 8 6 2" xfId="17874"/>
    <cellStyle name="Currency 3 8 6 2 2" xfId="17875"/>
    <cellStyle name="Currency 3 8 6 3" xfId="17876"/>
    <cellStyle name="Currency 3 8 7" xfId="17877"/>
    <cellStyle name="Currency 3 8 7 2" xfId="17878"/>
    <cellStyle name="Currency 3 8 8" xfId="17879"/>
    <cellStyle name="Currency 3 8 8 2" xfId="36683"/>
    <cellStyle name="Currency 3 8 9" xfId="17880"/>
    <cellStyle name="Currency 3 9" xfId="17881"/>
    <cellStyle name="Currency 3 9 2" xfId="17882"/>
    <cellStyle name="Currency 3 9 2 2" xfId="17883"/>
    <cellStyle name="Currency 3 9 2 2 2" xfId="17884"/>
    <cellStyle name="Currency 3 9 2 2 2 2" xfId="17885"/>
    <cellStyle name="Currency 3 9 2 2 2 2 2" xfId="17886"/>
    <cellStyle name="Currency 3 9 2 2 2 2 3" xfId="17887"/>
    <cellStyle name="Currency 3 9 2 2 2 3" xfId="17888"/>
    <cellStyle name="Currency 3 9 2 2 2 3 2" xfId="17889"/>
    <cellStyle name="Currency 3 9 2 2 2 4" xfId="17890"/>
    <cellStyle name="Currency 3 9 2 2 3" xfId="17891"/>
    <cellStyle name="Currency 3 9 2 2 3 2" xfId="17892"/>
    <cellStyle name="Currency 3 9 2 2 3 2 2" xfId="17893"/>
    <cellStyle name="Currency 3 9 2 2 3 3" xfId="17894"/>
    <cellStyle name="Currency 3 9 2 2 4" xfId="17895"/>
    <cellStyle name="Currency 3 9 2 2 4 2" xfId="17896"/>
    <cellStyle name="Currency 3 9 2 2 4 3" xfId="17897"/>
    <cellStyle name="Currency 3 9 2 2 5" xfId="17898"/>
    <cellStyle name="Currency 3 9 2 2 5 2" xfId="17899"/>
    <cellStyle name="Currency 3 9 2 2 6" xfId="17900"/>
    <cellStyle name="Currency 3 9 2 2 6 2" xfId="36684"/>
    <cellStyle name="Currency 3 9 2 2 7" xfId="17901"/>
    <cellStyle name="Currency 3 9 2 3" xfId="17902"/>
    <cellStyle name="Currency 3 9 2 3 2" xfId="17903"/>
    <cellStyle name="Currency 3 9 2 3 2 2" xfId="17904"/>
    <cellStyle name="Currency 3 9 2 3 2 2 2" xfId="17905"/>
    <cellStyle name="Currency 3 9 2 3 2 3" xfId="17906"/>
    <cellStyle name="Currency 3 9 2 3 3" xfId="17907"/>
    <cellStyle name="Currency 3 9 2 3 3 2" xfId="17908"/>
    <cellStyle name="Currency 3 9 2 3 4" xfId="17909"/>
    <cellStyle name="Currency 3 9 2 4" xfId="17910"/>
    <cellStyle name="Currency 3 9 2 4 2" xfId="17911"/>
    <cellStyle name="Currency 3 9 2 4 2 2" xfId="17912"/>
    <cellStyle name="Currency 3 9 2 4 3" xfId="17913"/>
    <cellStyle name="Currency 3 9 2 5" xfId="17914"/>
    <cellStyle name="Currency 3 9 2 5 2" xfId="17915"/>
    <cellStyle name="Currency 3 9 2 5 2 2" xfId="17916"/>
    <cellStyle name="Currency 3 9 2 5 3" xfId="17917"/>
    <cellStyle name="Currency 3 9 2 6" xfId="17918"/>
    <cellStyle name="Currency 3 9 2 6 2" xfId="17919"/>
    <cellStyle name="Currency 3 9 2 7" xfId="17920"/>
    <cellStyle name="Currency 3 9 2 7 2" xfId="36685"/>
    <cellStyle name="Currency 3 9 2 8" xfId="17921"/>
    <cellStyle name="Currency 3 9 3" xfId="17922"/>
    <cellStyle name="Currency 3 9 3 2" xfId="17923"/>
    <cellStyle name="Currency 3 9 3 2 2" xfId="17924"/>
    <cellStyle name="Currency 3 9 3 2 2 2" xfId="17925"/>
    <cellStyle name="Currency 3 9 3 2 2 3" xfId="17926"/>
    <cellStyle name="Currency 3 9 3 2 3" xfId="17927"/>
    <cellStyle name="Currency 3 9 3 2 3 2" xfId="17928"/>
    <cellStyle name="Currency 3 9 3 2 4" xfId="17929"/>
    <cellStyle name="Currency 3 9 3 3" xfId="17930"/>
    <cellStyle name="Currency 3 9 3 3 2" xfId="17931"/>
    <cellStyle name="Currency 3 9 3 3 2 2" xfId="17932"/>
    <cellStyle name="Currency 3 9 3 3 3" xfId="17933"/>
    <cellStyle name="Currency 3 9 3 4" xfId="17934"/>
    <cellStyle name="Currency 3 9 3 4 2" xfId="17935"/>
    <cellStyle name="Currency 3 9 3 4 3" xfId="17936"/>
    <cellStyle name="Currency 3 9 3 5" xfId="17937"/>
    <cellStyle name="Currency 3 9 3 5 2" xfId="17938"/>
    <cellStyle name="Currency 3 9 3 6" xfId="17939"/>
    <cellStyle name="Currency 3 9 3 6 2" xfId="36686"/>
    <cellStyle name="Currency 3 9 3 7" xfId="17940"/>
    <cellStyle name="Currency 3 9 4" xfId="17941"/>
    <cellStyle name="Currency 3 9 4 2" xfId="17942"/>
    <cellStyle name="Currency 3 9 4 2 2" xfId="17943"/>
    <cellStyle name="Currency 3 9 4 2 2 2" xfId="17944"/>
    <cellStyle name="Currency 3 9 4 2 3" xfId="17945"/>
    <cellStyle name="Currency 3 9 4 3" xfId="17946"/>
    <cellStyle name="Currency 3 9 4 3 2" xfId="17947"/>
    <cellStyle name="Currency 3 9 4 4" xfId="17948"/>
    <cellStyle name="Currency 3 9 5" xfId="17949"/>
    <cellStyle name="Currency 3 9 5 2" xfId="17950"/>
    <cellStyle name="Currency 3 9 5 2 2" xfId="17951"/>
    <cellStyle name="Currency 3 9 5 3" xfId="17952"/>
    <cellStyle name="Currency 3 9 6" xfId="17953"/>
    <cellStyle name="Currency 3 9 6 2" xfId="17954"/>
    <cellStyle name="Currency 3 9 6 2 2" xfId="17955"/>
    <cellStyle name="Currency 3 9 6 3" xfId="17956"/>
    <cellStyle name="Currency 3 9 7" xfId="17957"/>
    <cellStyle name="Currency 3 9 7 2" xfId="17958"/>
    <cellStyle name="Currency 3 9 8" xfId="17959"/>
    <cellStyle name="Currency 3 9 8 2" xfId="36687"/>
    <cellStyle name="Currency 3 9 9" xfId="17960"/>
    <cellStyle name="Currency 4" xfId="17961"/>
    <cellStyle name="Currency 5" xfId="17962"/>
    <cellStyle name="Currency 6" xfId="17963"/>
    <cellStyle name="Currency 7" xfId="17964"/>
    <cellStyle name="Currency 8" xfId="17965"/>
    <cellStyle name="Currency 9" xfId="37580"/>
    <cellStyle name="Currency0" xfId="49"/>
    <cellStyle name="Date" xfId="50"/>
    <cellStyle name="Emphasis 1" xfId="37680"/>
    <cellStyle name="Emphasis 2" xfId="37681"/>
    <cellStyle name="Emphasis 3" xfId="37682"/>
    <cellStyle name="Explanatory Text" xfId="51" builtinId="53" customBuiltin="1"/>
    <cellStyle name="Explanatory Text 2" xfId="17966"/>
    <cellStyle name="Explanatory Text 3" xfId="37683"/>
    <cellStyle name="Explanatory Text 4" xfId="37684"/>
    <cellStyle name="Explanatory Text 5" xfId="37685"/>
    <cellStyle name="Explanatory Text 6" xfId="37841"/>
    <cellStyle name="Fixed" xfId="52"/>
    <cellStyle name="Good" xfId="53" builtinId="26" customBuiltin="1"/>
    <cellStyle name="Good 2" xfId="17967"/>
    <cellStyle name="Good 3" xfId="37686"/>
    <cellStyle name="Good 4" xfId="37687"/>
    <cellStyle name="Good 5" xfId="37688"/>
    <cellStyle name="Good 6" xfId="37842"/>
    <cellStyle name="heading" xfId="54"/>
    <cellStyle name="Heading 1" xfId="55" builtinId="16" customBuiltin="1"/>
    <cellStyle name="Heading 1 10" xfId="56"/>
    <cellStyle name="Heading 1 11" xfId="57"/>
    <cellStyle name="Heading 1 12" xfId="58"/>
    <cellStyle name="Heading 1 13" xfId="59"/>
    <cellStyle name="Heading 1 14" xfId="60"/>
    <cellStyle name="Heading 1 15" xfId="37843"/>
    <cellStyle name="Heading 1 2" xfId="61"/>
    <cellStyle name="Heading 1 3" xfId="62"/>
    <cellStyle name="Heading 1 4" xfId="63"/>
    <cellStyle name="Heading 1 5" xfId="64"/>
    <cellStyle name="Heading 1 6" xfId="65"/>
    <cellStyle name="Heading 1 7" xfId="66"/>
    <cellStyle name="Heading 1 8" xfId="67"/>
    <cellStyle name="Heading 1 9" xfId="68"/>
    <cellStyle name="Heading 2" xfId="69" builtinId="17" customBuiltin="1"/>
    <cellStyle name="Heading 2 10" xfId="70"/>
    <cellStyle name="Heading 2 11" xfId="71"/>
    <cellStyle name="Heading 2 12" xfId="72"/>
    <cellStyle name="Heading 2 13" xfId="73"/>
    <cellStyle name="Heading 2 14" xfId="74"/>
    <cellStyle name="Heading 2 15" xfId="37844"/>
    <cellStyle name="Heading 2 2" xfId="75"/>
    <cellStyle name="Heading 2 3" xfId="76"/>
    <cellStyle name="Heading 2 4" xfId="77"/>
    <cellStyle name="Heading 2 5" xfId="78"/>
    <cellStyle name="Heading 2 6" xfId="79"/>
    <cellStyle name="Heading 2 7" xfId="80"/>
    <cellStyle name="Heading 2 8" xfId="81"/>
    <cellStyle name="Heading 2 9" xfId="82"/>
    <cellStyle name="Heading 3" xfId="83" builtinId="18" customBuiltin="1"/>
    <cellStyle name="Heading 3 2" xfId="17968"/>
    <cellStyle name="Heading 3 3" xfId="37689"/>
    <cellStyle name="Heading 3 4" xfId="37690"/>
    <cellStyle name="Heading 3 5" xfId="37691"/>
    <cellStyle name="Heading 3 6" xfId="37845"/>
    <cellStyle name="Heading 4" xfId="84" builtinId="19" customBuiltin="1"/>
    <cellStyle name="Heading 4 2" xfId="17969"/>
    <cellStyle name="Heading 4 3" xfId="37692"/>
    <cellStyle name="Heading 4 4" xfId="37693"/>
    <cellStyle name="Heading 4 5" xfId="37694"/>
    <cellStyle name="Heading 4 6" xfId="37846"/>
    <cellStyle name="Hyperlink" xfId="85" builtinId="8"/>
    <cellStyle name="Hyperlink 2" xfId="86"/>
    <cellStyle name="Hyperlink 2 2" xfId="87"/>
    <cellStyle name="Hyperlink 3" xfId="37771"/>
    <cellStyle name="Input" xfId="88" builtinId="20" customBuiltin="1"/>
    <cellStyle name="Input 2" xfId="17970"/>
    <cellStyle name="Input 3" xfId="37695"/>
    <cellStyle name="Input 4" xfId="37696"/>
    <cellStyle name="Input 5" xfId="37697"/>
    <cellStyle name="Input 6" xfId="37847"/>
    <cellStyle name="Linked Cell" xfId="89" builtinId="24" customBuiltin="1"/>
    <cellStyle name="Linked Cell 2" xfId="17971"/>
    <cellStyle name="Linked Cell 3" xfId="37698"/>
    <cellStyle name="Linked Cell 4" xfId="37699"/>
    <cellStyle name="Linked Cell 5" xfId="37700"/>
    <cellStyle name="Linked Cell 6" xfId="37848"/>
    <cellStyle name="Neutral" xfId="90" builtinId="28" customBuiltin="1"/>
    <cellStyle name="Neutral 2" xfId="17972"/>
    <cellStyle name="Neutral 3" xfId="37701"/>
    <cellStyle name="Neutral 4" xfId="37702"/>
    <cellStyle name="Neutral 5" xfId="37703"/>
    <cellStyle name="Neutral 6" xfId="37849"/>
    <cellStyle name="Norm`l_INPCMHB_1_FUEL" xfId="37763"/>
    <cellStyle name="Normal" xfId="0" builtinId="0"/>
    <cellStyle name="Normal 10" xfId="17973"/>
    <cellStyle name="Normal 10 2" xfId="17974"/>
    <cellStyle name="Normal 11" xfId="17975"/>
    <cellStyle name="Normal 11 2" xfId="17976"/>
    <cellStyle name="Normal 12" xfId="17977"/>
    <cellStyle name="Normal 12 2" xfId="17978"/>
    <cellStyle name="Normal 13" xfId="17979"/>
    <cellStyle name="Normal 13 2" xfId="17980"/>
    <cellStyle name="Normal 14" xfId="17981"/>
    <cellStyle name="Normal 14 10" xfId="37881"/>
    <cellStyle name="Normal 14 2" xfId="17982"/>
    <cellStyle name="Normal 14 3" xfId="17983"/>
    <cellStyle name="Normal 14 3 2" xfId="17984"/>
    <cellStyle name="Normal 14 3 2 2" xfId="17985"/>
    <cellStyle name="Normal 14 3 2 2 2" xfId="17986"/>
    <cellStyle name="Normal 14 3 2 2 3" xfId="17987"/>
    <cellStyle name="Normal 14 3 2 3" xfId="17988"/>
    <cellStyle name="Normal 14 3 2 3 2" xfId="17989"/>
    <cellStyle name="Normal 14 3 2 4" xfId="17990"/>
    <cellStyle name="Normal 14 3 3" xfId="17991"/>
    <cellStyle name="Normal 14 3 3 2" xfId="17992"/>
    <cellStyle name="Normal 14 3 3 2 2" xfId="17993"/>
    <cellStyle name="Normal 14 3 3 3" xfId="17994"/>
    <cellStyle name="Normal 14 3 4" xfId="17995"/>
    <cellStyle name="Normal 14 3 4 2" xfId="17996"/>
    <cellStyle name="Normal 14 3 4 3" xfId="17997"/>
    <cellStyle name="Normal 14 3 5" xfId="17998"/>
    <cellStyle name="Normal 14 3 5 2" xfId="17999"/>
    <cellStyle name="Normal 14 3 6" xfId="18000"/>
    <cellStyle name="Normal 14 3 6 2" xfId="36688"/>
    <cellStyle name="Normal 14 3 7" xfId="18001"/>
    <cellStyle name="Normal 14 4" xfId="18002"/>
    <cellStyle name="Normal 14 4 2" xfId="18003"/>
    <cellStyle name="Normal 14 4 2 2" xfId="18004"/>
    <cellStyle name="Normal 14 4 2 2 2" xfId="18005"/>
    <cellStyle name="Normal 14 4 2 3" xfId="18006"/>
    <cellStyle name="Normal 14 4 3" xfId="18007"/>
    <cellStyle name="Normal 14 4 3 2" xfId="18008"/>
    <cellStyle name="Normal 14 4 4" xfId="18009"/>
    <cellStyle name="Normal 14 5" xfId="18010"/>
    <cellStyle name="Normal 14 5 2" xfId="18011"/>
    <cellStyle name="Normal 14 5 2 2" xfId="18012"/>
    <cellStyle name="Normal 14 5 3" xfId="18013"/>
    <cellStyle name="Normal 14 6" xfId="18014"/>
    <cellStyle name="Normal 14 6 2" xfId="18015"/>
    <cellStyle name="Normal 14 6 2 2" xfId="18016"/>
    <cellStyle name="Normal 14 6 3" xfId="18017"/>
    <cellStyle name="Normal 14 7" xfId="18018"/>
    <cellStyle name="Normal 14 7 2" xfId="18019"/>
    <cellStyle name="Normal 14 8" xfId="18020"/>
    <cellStyle name="Normal 14 8 2" xfId="36689"/>
    <cellStyle name="Normal 14 9" xfId="18021"/>
    <cellStyle name="Normal 15" xfId="18022"/>
    <cellStyle name="Normal 16" xfId="91"/>
    <cellStyle name="Normal 17" xfId="18023"/>
    <cellStyle name="Normal 18" xfId="37578"/>
    <cellStyle name="Normal 19" xfId="37761"/>
    <cellStyle name="Normal 2" xfId="92"/>
    <cellStyle name="Normal 2 10" xfId="93"/>
    <cellStyle name="Normal 2 11" xfId="94"/>
    <cellStyle name="Normal 2 12" xfId="95"/>
    <cellStyle name="Normal 2 13" xfId="96"/>
    <cellStyle name="Normal 2 14" xfId="97"/>
    <cellStyle name="Normal 2 15" xfId="98"/>
    <cellStyle name="Normal 2 16" xfId="99"/>
    <cellStyle name="Normal 2 17" xfId="37850"/>
    <cellStyle name="Normal 2 2" xfId="100"/>
    <cellStyle name="Normal 2 2 2" xfId="101"/>
    <cellStyle name="Normal 2 2 2 2" xfId="102"/>
    <cellStyle name="Normal 2 2 2 2 2" xfId="103"/>
    <cellStyle name="Normal 2 2 2 2 2 2" xfId="104"/>
    <cellStyle name="Normal 2 2 2 2 2 3" xfId="105"/>
    <cellStyle name="Normal 2 2 2 2 3" xfId="106"/>
    <cellStyle name="Normal 2 2 2 3" xfId="107"/>
    <cellStyle name="Normal 2 2 2 4" xfId="108"/>
    <cellStyle name="Normal 2 2 2_Project 150 and FCM Data check" xfId="109"/>
    <cellStyle name="Normal 2 2 3" xfId="110"/>
    <cellStyle name="Normal 2 2 4" xfId="111"/>
    <cellStyle name="Normal 2 2_Historical NOx and SOx Prices - Scrubbed" xfId="112"/>
    <cellStyle name="Normal 2 3" xfId="113"/>
    <cellStyle name="Normal 2 4" xfId="114"/>
    <cellStyle name="Normal 2 5" xfId="115"/>
    <cellStyle name="Normal 2 6" xfId="116"/>
    <cellStyle name="Normal 2 7" xfId="117"/>
    <cellStyle name="Normal 2 8" xfId="118"/>
    <cellStyle name="Normal 2 9" xfId="119"/>
    <cellStyle name="Normal 2_ADAGE Results (All Cases) - revised international credit" xfId="120"/>
    <cellStyle name="Normal 20" xfId="37765"/>
    <cellStyle name="Normal 21" xfId="37766"/>
    <cellStyle name="Normal 22" xfId="37769"/>
    <cellStyle name="Normal 23" xfId="37880"/>
    <cellStyle name="Normal 3" xfId="121"/>
    <cellStyle name="Normal 3 2" xfId="122"/>
    <cellStyle name="Normal 3 3" xfId="123"/>
    <cellStyle name="Normal 3 4" xfId="37851"/>
    <cellStyle name="Normal 3_LevelizedCost of Wind_2010-10-01" xfId="124"/>
    <cellStyle name="Normal 4" xfId="125"/>
    <cellStyle name="Normal 4 2" xfId="126"/>
    <cellStyle name="Normal 4 2 2" xfId="37852"/>
    <cellStyle name="Normal 4 3" xfId="127"/>
    <cellStyle name="Normal 4 4" xfId="37774"/>
    <cellStyle name="Normal 4_CELT Capacity Cata check - 09 vs 10" xfId="128"/>
    <cellStyle name="Normal 5" xfId="129"/>
    <cellStyle name="Normal 5 2" xfId="37772"/>
    <cellStyle name="Normal 6" xfId="130"/>
    <cellStyle name="Normal 6 2" xfId="37773"/>
    <cellStyle name="Normal 7" xfId="177"/>
    <cellStyle name="Normal 7 10" xfId="18024"/>
    <cellStyle name="Normal 7 10 2" xfId="18025"/>
    <cellStyle name="Normal 7 10 2 2" xfId="18026"/>
    <cellStyle name="Normal 7 10 2 2 2" xfId="18027"/>
    <cellStyle name="Normal 7 10 2 2 2 2" xfId="18028"/>
    <cellStyle name="Normal 7 10 2 2 2 3" xfId="18029"/>
    <cellStyle name="Normal 7 10 2 2 3" xfId="18030"/>
    <cellStyle name="Normal 7 10 2 2 3 2" xfId="18031"/>
    <cellStyle name="Normal 7 10 2 2 4" xfId="18032"/>
    <cellStyle name="Normal 7 10 2 3" xfId="18033"/>
    <cellStyle name="Normal 7 10 2 3 2" xfId="18034"/>
    <cellStyle name="Normal 7 10 2 3 2 2" xfId="18035"/>
    <cellStyle name="Normal 7 10 2 3 3" xfId="18036"/>
    <cellStyle name="Normal 7 10 2 4" xfId="18037"/>
    <cellStyle name="Normal 7 10 2 4 2" xfId="18038"/>
    <cellStyle name="Normal 7 10 2 4 3" xfId="18039"/>
    <cellStyle name="Normal 7 10 2 5" xfId="18040"/>
    <cellStyle name="Normal 7 10 2 5 2" xfId="18041"/>
    <cellStyle name="Normal 7 10 2 6" xfId="18042"/>
    <cellStyle name="Normal 7 10 2 6 2" xfId="36690"/>
    <cellStyle name="Normal 7 10 2 7" xfId="18043"/>
    <cellStyle name="Normal 7 10 3" xfId="18044"/>
    <cellStyle name="Normal 7 10 3 2" xfId="18045"/>
    <cellStyle name="Normal 7 10 3 2 2" xfId="18046"/>
    <cellStyle name="Normal 7 10 3 2 2 2" xfId="18047"/>
    <cellStyle name="Normal 7 10 3 2 3" xfId="18048"/>
    <cellStyle name="Normal 7 10 3 3" xfId="18049"/>
    <cellStyle name="Normal 7 10 3 3 2" xfId="18050"/>
    <cellStyle name="Normal 7 10 3 4" xfId="18051"/>
    <cellStyle name="Normal 7 10 4" xfId="18052"/>
    <cellStyle name="Normal 7 10 4 2" xfId="18053"/>
    <cellStyle name="Normal 7 10 4 2 2" xfId="18054"/>
    <cellStyle name="Normal 7 10 4 3" xfId="18055"/>
    <cellStyle name="Normal 7 10 5" xfId="18056"/>
    <cellStyle name="Normal 7 10 5 2" xfId="18057"/>
    <cellStyle name="Normal 7 10 5 2 2" xfId="18058"/>
    <cellStyle name="Normal 7 10 5 3" xfId="18059"/>
    <cellStyle name="Normal 7 10 6" xfId="18060"/>
    <cellStyle name="Normal 7 10 6 2" xfId="18061"/>
    <cellStyle name="Normal 7 10 7" xfId="18062"/>
    <cellStyle name="Normal 7 10 7 2" xfId="36691"/>
    <cellStyle name="Normal 7 10 8" xfId="18063"/>
    <cellStyle name="Normal 7 11" xfId="18064"/>
    <cellStyle name="Normal 7 11 2" xfId="18065"/>
    <cellStyle name="Normal 7 11 2 2" xfId="18066"/>
    <cellStyle name="Normal 7 11 2 2 2" xfId="18067"/>
    <cellStyle name="Normal 7 11 2 2 2 2" xfId="18068"/>
    <cellStyle name="Normal 7 11 2 2 2 3" xfId="18069"/>
    <cellStyle name="Normal 7 11 2 2 3" xfId="18070"/>
    <cellStyle name="Normal 7 11 2 2 3 2" xfId="18071"/>
    <cellStyle name="Normal 7 11 2 2 4" xfId="18072"/>
    <cellStyle name="Normal 7 11 2 3" xfId="18073"/>
    <cellStyle name="Normal 7 11 2 3 2" xfId="18074"/>
    <cellStyle name="Normal 7 11 2 3 2 2" xfId="18075"/>
    <cellStyle name="Normal 7 11 2 3 3" xfId="18076"/>
    <cellStyle name="Normal 7 11 2 4" xfId="18077"/>
    <cellStyle name="Normal 7 11 2 4 2" xfId="18078"/>
    <cellStyle name="Normal 7 11 2 4 3" xfId="18079"/>
    <cellStyle name="Normal 7 11 2 5" xfId="18080"/>
    <cellStyle name="Normal 7 11 2 5 2" xfId="18081"/>
    <cellStyle name="Normal 7 11 2 6" xfId="18082"/>
    <cellStyle name="Normal 7 11 2 6 2" xfId="36692"/>
    <cellStyle name="Normal 7 11 2 7" xfId="18083"/>
    <cellStyle name="Normal 7 11 3" xfId="18084"/>
    <cellStyle name="Normal 7 11 3 2" xfId="18085"/>
    <cellStyle name="Normal 7 11 3 2 2" xfId="18086"/>
    <cellStyle name="Normal 7 11 3 2 2 2" xfId="18087"/>
    <cellStyle name="Normal 7 11 3 2 3" xfId="18088"/>
    <cellStyle name="Normal 7 11 3 3" xfId="18089"/>
    <cellStyle name="Normal 7 11 3 3 2" xfId="18090"/>
    <cellStyle name="Normal 7 11 3 4" xfId="18091"/>
    <cellStyle name="Normal 7 11 4" xfId="18092"/>
    <cellStyle name="Normal 7 11 4 2" xfId="18093"/>
    <cellStyle name="Normal 7 11 4 2 2" xfId="18094"/>
    <cellStyle name="Normal 7 11 4 3" xfId="18095"/>
    <cellStyle name="Normal 7 11 5" xfId="18096"/>
    <cellStyle name="Normal 7 11 5 2" xfId="18097"/>
    <cellStyle name="Normal 7 11 5 2 2" xfId="18098"/>
    <cellStyle name="Normal 7 11 5 3" xfId="18099"/>
    <cellStyle name="Normal 7 11 6" xfId="18100"/>
    <cellStyle name="Normal 7 11 6 2" xfId="18101"/>
    <cellStyle name="Normal 7 11 7" xfId="18102"/>
    <cellStyle name="Normal 7 11 7 2" xfId="36693"/>
    <cellStyle name="Normal 7 11 8" xfId="18103"/>
    <cellStyle name="Normal 7 12" xfId="18104"/>
    <cellStyle name="Normal 7 12 2" xfId="18105"/>
    <cellStyle name="Normal 7 12 2 2" xfId="18106"/>
    <cellStyle name="Normal 7 12 2 2 2" xfId="18107"/>
    <cellStyle name="Normal 7 12 2 2 2 2" xfId="18108"/>
    <cellStyle name="Normal 7 12 2 2 2 3" xfId="18109"/>
    <cellStyle name="Normal 7 12 2 2 3" xfId="18110"/>
    <cellStyle name="Normal 7 12 2 2 3 2" xfId="18111"/>
    <cellStyle name="Normal 7 12 2 2 4" xfId="18112"/>
    <cellStyle name="Normal 7 12 2 3" xfId="18113"/>
    <cellStyle name="Normal 7 12 2 3 2" xfId="18114"/>
    <cellStyle name="Normal 7 12 2 3 2 2" xfId="18115"/>
    <cellStyle name="Normal 7 12 2 3 3" xfId="18116"/>
    <cellStyle name="Normal 7 12 2 4" xfId="18117"/>
    <cellStyle name="Normal 7 12 2 4 2" xfId="18118"/>
    <cellStyle name="Normal 7 12 2 4 3" xfId="18119"/>
    <cellStyle name="Normal 7 12 2 5" xfId="18120"/>
    <cellStyle name="Normal 7 12 2 5 2" xfId="18121"/>
    <cellStyle name="Normal 7 12 2 6" xfId="18122"/>
    <cellStyle name="Normal 7 12 2 6 2" xfId="36694"/>
    <cellStyle name="Normal 7 12 2 7" xfId="18123"/>
    <cellStyle name="Normal 7 12 3" xfId="18124"/>
    <cellStyle name="Normal 7 12 3 2" xfId="18125"/>
    <cellStyle name="Normal 7 12 3 2 2" xfId="18126"/>
    <cellStyle name="Normal 7 12 3 2 2 2" xfId="18127"/>
    <cellStyle name="Normal 7 12 3 2 3" xfId="18128"/>
    <cellStyle name="Normal 7 12 3 3" xfId="18129"/>
    <cellStyle name="Normal 7 12 3 3 2" xfId="18130"/>
    <cellStyle name="Normal 7 12 3 4" xfId="18131"/>
    <cellStyle name="Normal 7 12 4" xfId="18132"/>
    <cellStyle name="Normal 7 12 4 2" xfId="18133"/>
    <cellStyle name="Normal 7 12 4 2 2" xfId="18134"/>
    <cellStyle name="Normal 7 12 4 3" xfId="18135"/>
    <cellStyle name="Normal 7 12 5" xfId="18136"/>
    <cellStyle name="Normal 7 12 5 2" xfId="18137"/>
    <cellStyle name="Normal 7 12 5 2 2" xfId="18138"/>
    <cellStyle name="Normal 7 12 5 3" xfId="18139"/>
    <cellStyle name="Normal 7 12 6" xfId="18140"/>
    <cellStyle name="Normal 7 12 6 2" xfId="18141"/>
    <cellStyle name="Normal 7 12 7" xfId="18142"/>
    <cellStyle name="Normal 7 12 7 2" xfId="36695"/>
    <cellStyle name="Normal 7 12 8" xfId="18143"/>
    <cellStyle name="Normal 7 13" xfId="18144"/>
    <cellStyle name="Normal 7 13 2" xfId="18145"/>
    <cellStyle name="Normal 7 13 2 2" xfId="18146"/>
    <cellStyle name="Normal 7 13 2 2 2" xfId="18147"/>
    <cellStyle name="Normal 7 13 2 2 3" xfId="18148"/>
    <cellStyle name="Normal 7 13 2 3" xfId="18149"/>
    <cellStyle name="Normal 7 13 2 3 2" xfId="18150"/>
    <cellStyle name="Normal 7 13 2 4" xfId="18151"/>
    <cellStyle name="Normal 7 13 3" xfId="18152"/>
    <cellStyle name="Normal 7 13 3 2" xfId="18153"/>
    <cellStyle name="Normal 7 13 3 2 2" xfId="18154"/>
    <cellStyle name="Normal 7 13 3 3" xfId="18155"/>
    <cellStyle name="Normal 7 13 4" xfId="18156"/>
    <cellStyle name="Normal 7 13 4 2" xfId="18157"/>
    <cellStyle name="Normal 7 13 4 3" xfId="18158"/>
    <cellStyle name="Normal 7 13 5" xfId="18159"/>
    <cellStyle name="Normal 7 13 5 2" xfId="18160"/>
    <cellStyle name="Normal 7 13 6" xfId="18161"/>
    <cellStyle name="Normal 7 13 6 2" xfId="36696"/>
    <cellStyle name="Normal 7 13 7" xfId="18162"/>
    <cellStyle name="Normal 7 14" xfId="18163"/>
    <cellStyle name="Normal 7 14 2" xfId="18164"/>
    <cellStyle name="Normal 7 14 2 2" xfId="18165"/>
    <cellStyle name="Normal 7 14 2 2 2" xfId="18166"/>
    <cellStyle name="Normal 7 14 2 3" xfId="18167"/>
    <cellStyle name="Normal 7 14 3" xfId="18168"/>
    <cellStyle name="Normal 7 14 3 2" xfId="18169"/>
    <cellStyle name="Normal 7 14 4" xfId="18170"/>
    <cellStyle name="Normal 7 15" xfId="18171"/>
    <cellStyle name="Normal 7 15 2" xfId="18172"/>
    <cellStyle name="Normal 7 15 2 2" xfId="18173"/>
    <cellStyle name="Normal 7 15 3" xfId="18174"/>
    <cellStyle name="Normal 7 16" xfId="18175"/>
    <cellStyle name="Normal 7 16 2" xfId="18176"/>
    <cellStyle name="Normal 7 16 2 2" xfId="18177"/>
    <cellStyle name="Normal 7 16 3" xfId="18178"/>
    <cellStyle name="Normal 7 17" xfId="18179"/>
    <cellStyle name="Normal 7 17 2" xfId="18180"/>
    <cellStyle name="Normal 7 18" xfId="18181"/>
    <cellStyle name="Normal 7 18 2" xfId="36697"/>
    <cellStyle name="Normal 7 19" xfId="18182"/>
    <cellStyle name="Normal 7 2" xfId="18183"/>
    <cellStyle name="Normal 7 2 10" xfId="18184"/>
    <cellStyle name="Normal 7 2 10 2" xfId="18185"/>
    <cellStyle name="Normal 7 2 10 2 2" xfId="18186"/>
    <cellStyle name="Normal 7 2 10 2 2 2" xfId="18187"/>
    <cellStyle name="Normal 7 2 10 2 2 2 2" xfId="18188"/>
    <cellStyle name="Normal 7 2 10 2 2 2 3" xfId="18189"/>
    <cellStyle name="Normal 7 2 10 2 2 3" xfId="18190"/>
    <cellStyle name="Normal 7 2 10 2 2 3 2" xfId="18191"/>
    <cellStyle name="Normal 7 2 10 2 2 4" xfId="18192"/>
    <cellStyle name="Normal 7 2 10 2 3" xfId="18193"/>
    <cellStyle name="Normal 7 2 10 2 3 2" xfId="18194"/>
    <cellStyle name="Normal 7 2 10 2 3 2 2" xfId="18195"/>
    <cellStyle name="Normal 7 2 10 2 3 3" xfId="18196"/>
    <cellStyle name="Normal 7 2 10 2 4" xfId="18197"/>
    <cellStyle name="Normal 7 2 10 2 4 2" xfId="18198"/>
    <cellStyle name="Normal 7 2 10 2 4 3" xfId="18199"/>
    <cellStyle name="Normal 7 2 10 2 5" xfId="18200"/>
    <cellStyle name="Normal 7 2 10 2 5 2" xfId="18201"/>
    <cellStyle name="Normal 7 2 10 2 6" xfId="18202"/>
    <cellStyle name="Normal 7 2 10 2 6 2" xfId="36698"/>
    <cellStyle name="Normal 7 2 10 2 7" xfId="18203"/>
    <cellStyle name="Normal 7 2 10 3" xfId="18204"/>
    <cellStyle name="Normal 7 2 10 3 2" xfId="18205"/>
    <cellStyle name="Normal 7 2 10 3 2 2" xfId="18206"/>
    <cellStyle name="Normal 7 2 10 3 2 2 2" xfId="18207"/>
    <cellStyle name="Normal 7 2 10 3 2 3" xfId="18208"/>
    <cellStyle name="Normal 7 2 10 3 3" xfId="18209"/>
    <cellStyle name="Normal 7 2 10 3 3 2" xfId="18210"/>
    <cellStyle name="Normal 7 2 10 3 4" xfId="18211"/>
    <cellStyle name="Normal 7 2 10 4" xfId="18212"/>
    <cellStyle name="Normal 7 2 10 4 2" xfId="18213"/>
    <cellStyle name="Normal 7 2 10 4 2 2" xfId="18214"/>
    <cellStyle name="Normal 7 2 10 4 3" xfId="18215"/>
    <cellStyle name="Normal 7 2 10 5" xfId="18216"/>
    <cellStyle name="Normal 7 2 10 5 2" xfId="18217"/>
    <cellStyle name="Normal 7 2 10 5 2 2" xfId="18218"/>
    <cellStyle name="Normal 7 2 10 5 3" xfId="18219"/>
    <cellStyle name="Normal 7 2 10 6" xfId="18220"/>
    <cellStyle name="Normal 7 2 10 6 2" xfId="18221"/>
    <cellStyle name="Normal 7 2 10 7" xfId="18222"/>
    <cellStyle name="Normal 7 2 10 7 2" xfId="36699"/>
    <cellStyle name="Normal 7 2 10 8" xfId="18223"/>
    <cellStyle name="Normal 7 2 11" xfId="18224"/>
    <cellStyle name="Normal 7 2 11 2" xfId="18225"/>
    <cellStyle name="Normal 7 2 11 2 2" xfId="18226"/>
    <cellStyle name="Normal 7 2 11 2 2 2" xfId="18227"/>
    <cellStyle name="Normal 7 2 11 2 2 2 2" xfId="18228"/>
    <cellStyle name="Normal 7 2 11 2 2 2 3" xfId="18229"/>
    <cellStyle name="Normal 7 2 11 2 2 3" xfId="18230"/>
    <cellStyle name="Normal 7 2 11 2 2 3 2" xfId="18231"/>
    <cellStyle name="Normal 7 2 11 2 2 4" xfId="18232"/>
    <cellStyle name="Normal 7 2 11 2 3" xfId="18233"/>
    <cellStyle name="Normal 7 2 11 2 3 2" xfId="18234"/>
    <cellStyle name="Normal 7 2 11 2 3 2 2" xfId="18235"/>
    <cellStyle name="Normal 7 2 11 2 3 3" xfId="18236"/>
    <cellStyle name="Normal 7 2 11 2 4" xfId="18237"/>
    <cellStyle name="Normal 7 2 11 2 4 2" xfId="18238"/>
    <cellStyle name="Normal 7 2 11 2 4 3" xfId="18239"/>
    <cellStyle name="Normal 7 2 11 2 5" xfId="18240"/>
    <cellStyle name="Normal 7 2 11 2 5 2" xfId="18241"/>
    <cellStyle name="Normal 7 2 11 2 6" xfId="18242"/>
    <cellStyle name="Normal 7 2 11 2 6 2" xfId="36700"/>
    <cellStyle name="Normal 7 2 11 2 7" xfId="18243"/>
    <cellStyle name="Normal 7 2 11 3" xfId="18244"/>
    <cellStyle name="Normal 7 2 11 3 2" xfId="18245"/>
    <cellStyle name="Normal 7 2 11 3 2 2" xfId="18246"/>
    <cellStyle name="Normal 7 2 11 3 2 2 2" xfId="18247"/>
    <cellStyle name="Normal 7 2 11 3 2 3" xfId="18248"/>
    <cellStyle name="Normal 7 2 11 3 3" xfId="18249"/>
    <cellStyle name="Normal 7 2 11 3 3 2" xfId="18250"/>
    <cellStyle name="Normal 7 2 11 3 4" xfId="18251"/>
    <cellStyle name="Normal 7 2 11 4" xfId="18252"/>
    <cellStyle name="Normal 7 2 11 4 2" xfId="18253"/>
    <cellStyle name="Normal 7 2 11 4 2 2" xfId="18254"/>
    <cellStyle name="Normal 7 2 11 4 3" xfId="18255"/>
    <cellStyle name="Normal 7 2 11 5" xfId="18256"/>
    <cellStyle name="Normal 7 2 11 5 2" xfId="18257"/>
    <cellStyle name="Normal 7 2 11 5 2 2" xfId="18258"/>
    <cellStyle name="Normal 7 2 11 5 3" xfId="18259"/>
    <cellStyle name="Normal 7 2 11 6" xfId="18260"/>
    <cellStyle name="Normal 7 2 11 6 2" xfId="18261"/>
    <cellStyle name="Normal 7 2 11 7" xfId="18262"/>
    <cellStyle name="Normal 7 2 11 7 2" xfId="36701"/>
    <cellStyle name="Normal 7 2 11 8" xfId="18263"/>
    <cellStyle name="Normal 7 2 12" xfId="18264"/>
    <cellStyle name="Normal 7 2 12 2" xfId="18265"/>
    <cellStyle name="Normal 7 2 12 2 2" xfId="18266"/>
    <cellStyle name="Normal 7 2 12 2 2 2" xfId="18267"/>
    <cellStyle name="Normal 7 2 12 2 2 3" xfId="18268"/>
    <cellStyle name="Normal 7 2 12 2 3" xfId="18269"/>
    <cellStyle name="Normal 7 2 12 2 3 2" xfId="18270"/>
    <cellStyle name="Normal 7 2 12 2 4" xfId="18271"/>
    <cellStyle name="Normal 7 2 12 3" xfId="18272"/>
    <cellStyle name="Normal 7 2 12 3 2" xfId="18273"/>
    <cellStyle name="Normal 7 2 12 3 2 2" xfId="18274"/>
    <cellStyle name="Normal 7 2 12 3 3" xfId="18275"/>
    <cellStyle name="Normal 7 2 12 4" xfId="18276"/>
    <cellStyle name="Normal 7 2 12 4 2" xfId="18277"/>
    <cellStyle name="Normal 7 2 12 4 3" xfId="18278"/>
    <cellStyle name="Normal 7 2 12 5" xfId="18279"/>
    <cellStyle name="Normal 7 2 12 5 2" xfId="18280"/>
    <cellStyle name="Normal 7 2 12 6" xfId="18281"/>
    <cellStyle name="Normal 7 2 12 6 2" xfId="36702"/>
    <cellStyle name="Normal 7 2 12 7" xfId="18282"/>
    <cellStyle name="Normal 7 2 13" xfId="18283"/>
    <cellStyle name="Normal 7 2 13 2" xfId="18284"/>
    <cellStyle name="Normal 7 2 13 2 2" xfId="18285"/>
    <cellStyle name="Normal 7 2 13 2 2 2" xfId="18286"/>
    <cellStyle name="Normal 7 2 13 2 3" xfId="18287"/>
    <cellStyle name="Normal 7 2 13 3" xfId="18288"/>
    <cellStyle name="Normal 7 2 13 3 2" xfId="18289"/>
    <cellStyle name="Normal 7 2 13 4" xfId="18290"/>
    <cellStyle name="Normal 7 2 14" xfId="18291"/>
    <cellStyle name="Normal 7 2 14 2" xfId="18292"/>
    <cellStyle name="Normal 7 2 14 2 2" xfId="18293"/>
    <cellStyle name="Normal 7 2 14 3" xfId="18294"/>
    <cellStyle name="Normal 7 2 15" xfId="18295"/>
    <cellStyle name="Normal 7 2 15 2" xfId="18296"/>
    <cellStyle name="Normal 7 2 15 2 2" xfId="18297"/>
    <cellStyle name="Normal 7 2 15 3" xfId="18298"/>
    <cellStyle name="Normal 7 2 16" xfId="18299"/>
    <cellStyle name="Normal 7 2 16 2" xfId="18300"/>
    <cellStyle name="Normal 7 2 17" xfId="18301"/>
    <cellStyle name="Normal 7 2 17 2" xfId="36703"/>
    <cellStyle name="Normal 7 2 18" xfId="18302"/>
    <cellStyle name="Normal 7 2 2" xfId="18303"/>
    <cellStyle name="Normal 7 2 2 10" xfId="18304"/>
    <cellStyle name="Normal 7 2 2 10 2" xfId="18305"/>
    <cellStyle name="Normal 7 2 2 10 2 2" xfId="18306"/>
    <cellStyle name="Normal 7 2 2 10 3" xfId="18307"/>
    <cellStyle name="Normal 7 2 2 11" xfId="18308"/>
    <cellStyle name="Normal 7 2 2 11 2" xfId="18309"/>
    <cellStyle name="Normal 7 2 2 11 2 2" xfId="18310"/>
    <cellStyle name="Normal 7 2 2 11 3" xfId="18311"/>
    <cellStyle name="Normal 7 2 2 12" xfId="18312"/>
    <cellStyle name="Normal 7 2 2 12 2" xfId="18313"/>
    <cellStyle name="Normal 7 2 2 13" xfId="18314"/>
    <cellStyle name="Normal 7 2 2 13 2" xfId="36704"/>
    <cellStyle name="Normal 7 2 2 14" xfId="18315"/>
    <cellStyle name="Normal 7 2 2 2" xfId="18316"/>
    <cellStyle name="Normal 7 2 2 2 10" xfId="18317"/>
    <cellStyle name="Normal 7 2 2 2 2" xfId="18318"/>
    <cellStyle name="Normal 7 2 2 2 2 2" xfId="18319"/>
    <cellStyle name="Normal 7 2 2 2 2 2 2" xfId="18320"/>
    <cellStyle name="Normal 7 2 2 2 2 2 2 2" xfId="18321"/>
    <cellStyle name="Normal 7 2 2 2 2 2 2 2 2" xfId="18322"/>
    <cellStyle name="Normal 7 2 2 2 2 2 2 2 2 2" xfId="18323"/>
    <cellStyle name="Normal 7 2 2 2 2 2 2 2 2 3" xfId="18324"/>
    <cellStyle name="Normal 7 2 2 2 2 2 2 2 3" xfId="18325"/>
    <cellStyle name="Normal 7 2 2 2 2 2 2 2 3 2" xfId="18326"/>
    <cellStyle name="Normal 7 2 2 2 2 2 2 2 4" xfId="18327"/>
    <cellStyle name="Normal 7 2 2 2 2 2 2 3" xfId="18328"/>
    <cellStyle name="Normal 7 2 2 2 2 2 2 3 2" xfId="18329"/>
    <cellStyle name="Normal 7 2 2 2 2 2 2 3 2 2" xfId="18330"/>
    <cellStyle name="Normal 7 2 2 2 2 2 2 3 3" xfId="18331"/>
    <cellStyle name="Normal 7 2 2 2 2 2 2 4" xfId="18332"/>
    <cellStyle name="Normal 7 2 2 2 2 2 2 4 2" xfId="18333"/>
    <cellStyle name="Normal 7 2 2 2 2 2 2 4 3" xfId="18334"/>
    <cellStyle name="Normal 7 2 2 2 2 2 2 5" xfId="18335"/>
    <cellStyle name="Normal 7 2 2 2 2 2 2 5 2" xfId="18336"/>
    <cellStyle name="Normal 7 2 2 2 2 2 2 6" xfId="18337"/>
    <cellStyle name="Normal 7 2 2 2 2 2 2 6 2" xfId="36705"/>
    <cellStyle name="Normal 7 2 2 2 2 2 2 7" xfId="18338"/>
    <cellStyle name="Normal 7 2 2 2 2 2 3" xfId="18339"/>
    <cellStyle name="Normal 7 2 2 2 2 2 3 2" xfId="18340"/>
    <cellStyle name="Normal 7 2 2 2 2 2 3 2 2" xfId="18341"/>
    <cellStyle name="Normal 7 2 2 2 2 2 3 2 2 2" xfId="18342"/>
    <cellStyle name="Normal 7 2 2 2 2 2 3 2 3" xfId="18343"/>
    <cellStyle name="Normal 7 2 2 2 2 2 3 3" xfId="18344"/>
    <cellStyle name="Normal 7 2 2 2 2 2 3 3 2" xfId="18345"/>
    <cellStyle name="Normal 7 2 2 2 2 2 3 4" xfId="18346"/>
    <cellStyle name="Normal 7 2 2 2 2 2 4" xfId="18347"/>
    <cellStyle name="Normal 7 2 2 2 2 2 4 2" xfId="18348"/>
    <cellStyle name="Normal 7 2 2 2 2 2 4 2 2" xfId="18349"/>
    <cellStyle name="Normal 7 2 2 2 2 2 4 3" xfId="18350"/>
    <cellStyle name="Normal 7 2 2 2 2 2 5" xfId="18351"/>
    <cellStyle name="Normal 7 2 2 2 2 2 5 2" xfId="18352"/>
    <cellStyle name="Normal 7 2 2 2 2 2 5 2 2" xfId="18353"/>
    <cellStyle name="Normal 7 2 2 2 2 2 5 3" xfId="18354"/>
    <cellStyle name="Normal 7 2 2 2 2 2 6" xfId="18355"/>
    <cellStyle name="Normal 7 2 2 2 2 2 6 2" xfId="18356"/>
    <cellStyle name="Normal 7 2 2 2 2 2 7" xfId="18357"/>
    <cellStyle name="Normal 7 2 2 2 2 2 7 2" xfId="36706"/>
    <cellStyle name="Normal 7 2 2 2 2 2 8" xfId="18358"/>
    <cellStyle name="Normal 7 2 2 2 2 3" xfId="18359"/>
    <cellStyle name="Normal 7 2 2 2 2 3 2" xfId="18360"/>
    <cellStyle name="Normal 7 2 2 2 2 3 2 2" xfId="18361"/>
    <cellStyle name="Normal 7 2 2 2 2 3 2 2 2" xfId="18362"/>
    <cellStyle name="Normal 7 2 2 2 2 3 2 2 3" xfId="18363"/>
    <cellStyle name="Normal 7 2 2 2 2 3 2 3" xfId="18364"/>
    <cellStyle name="Normal 7 2 2 2 2 3 2 3 2" xfId="18365"/>
    <cellStyle name="Normal 7 2 2 2 2 3 2 4" xfId="18366"/>
    <cellStyle name="Normal 7 2 2 2 2 3 3" xfId="18367"/>
    <cellStyle name="Normal 7 2 2 2 2 3 3 2" xfId="18368"/>
    <cellStyle name="Normal 7 2 2 2 2 3 3 2 2" xfId="18369"/>
    <cellStyle name="Normal 7 2 2 2 2 3 3 3" xfId="18370"/>
    <cellStyle name="Normal 7 2 2 2 2 3 4" xfId="18371"/>
    <cellStyle name="Normal 7 2 2 2 2 3 4 2" xfId="18372"/>
    <cellStyle name="Normal 7 2 2 2 2 3 4 3" xfId="18373"/>
    <cellStyle name="Normal 7 2 2 2 2 3 5" xfId="18374"/>
    <cellStyle name="Normal 7 2 2 2 2 3 5 2" xfId="18375"/>
    <cellStyle name="Normal 7 2 2 2 2 3 6" xfId="18376"/>
    <cellStyle name="Normal 7 2 2 2 2 3 6 2" xfId="36707"/>
    <cellStyle name="Normal 7 2 2 2 2 3 7" xfId="18377"/>
    <cellStyle name="Normal 7 2 2 2 2 4" xfId="18378"/>
    <cellStyle name="Normal 7 2 2 2 2 4 2" xfId="18379"/>
    <cellStyle name="Normal 7 2 2 2 2 4 2 2" xfId="18380"/>
    <cellStyle name="Normal 7 2 2 2 2 4 2 2 2" xfId="18381"/>
    <cellStyle name="Normal 7 2 2 2 2 4 2 3" xfId="18382"/>
    <cellStyle name="Normal 7 2 2 2 2 4 3" xfId="18383"/>
    <cellStyle name="Normal 7 2 2 2 2 4 3 2" xfId="18384"/>
    <cellStyle name="Normal 7 2 2 2 2 4 4" xfId="18385"/>
    <cellStyle name="Normal 7 2 2 2 2 5" xfId="18386"/>
    <cellStyle name="Normal 7 2 2 2 2 5 2" xfId="18387"/>
    <cellStyle name="Normal 7 2 2 2 2 5 2 2" xfId="18388"/>
    <cellStyle name="Normal 7 2 2 2 2 5 3" xfId="18389"/>
    <cellStyle name="Normal 7 2 2 2 2 6" xfId="18390"/>
    <cellStyle name="Normal 7 2 2 2 2 6 2" xfId="18391"/>
    <cellStyle name="Normal 7 2 2 2 2 6 2 2" xfId="18392"/>
    <cellStyle name="Normal 7 2 2 2 2 6 3" xfId="18393"/>
    <cellStyle name="Normal 7 2 2 2 2 7" xfId="18394"/>
    <cellStyle name="Normal 7 2 2 2 2 7 2" xfId="18395"/>
    <cellStyle name="Normal 7 2 2 2 2 8" xfId="18396"/>
    <cellStyle name="Normal 7 2 2 2 2 8 2" xfId="36708"/>
    <cellStyle name="Normal 7 2 2 2 2 9" xfId="18397"/>
    <cellStyle name="Normal 7 2 2 2 3" xfId="18398"/>
    <cellStyle name="Normal 7 2 2 2 3 2" xfId="18399"/>
    <cellStyle name="Normal 7 2 2 2 3 2 2" xfId="18400"/>
    <cellStyle name="Normal 7 2 2 2 3 2 2 2" xfId="18401"/>
    <cellStyle name="Normal 7 2 2 2 3 2 2 2 2" xfId="18402"/>
    <cellStyle name="Normal 7 2 2 2 3 2 2 2 3" xfId="18403"/>
    <cellStyle name="Normal 7 2 2 2 3 2 2 3" xfId="18404"/>
    <cellStyle name="Normal 7 2 2 2 3 2 2 3 2" xfId="18405"/>
    <cellStyle name="Normal 7 2 2 2 3 2 2 4" xfId="18406"/>
    <cellStyle name="Normal 7 2 2 2 3 2 3" xfId="18407"/>
    <cellStyle name="Normal 7 2 2 2 3 2 3 2" xfId="18408"/>
    <cellStyle name="Normal 7 2 2 2 3 2 3 2 2" xfId="18409"/>
    <cellStyle name="Normal 7 2 2 2 3 2 3 3" xfId="18410"/>
    <cellStyle name="Normal 7 2 2 2 3 2 4" xfId="18411"/>
    <cellStyle name="Normal 7 2 2 2 3 2 4 2" xfId="18412"/>
    <cellStyle name="Normal 7 2 2 2 3 2 4 3" xfId="18413"/>
    <cellStyle name="Normal 7 2 2 2 3 2 5" xfId="18414"/>
    <cellStyle name="Normal 7 2 2 2 3 2 5 2" xfId="18415"/>
    <cellStyle name="Normal 7 2 2 2 3 2 6" xfId="18416"/>
    <cellStyle name="Normal 7 2 2 2 3 2 6 2" xfId="36709"/>
    <cellStyle name="Normal 7 2 2 2 3 2 7" xfId="18417"/>
    <cellStyle name="Normal 7 2 2 2 3 3" xfId="18418"/>
    <cellStyle name="Normal 7 2 2 2 3 3 2" xfId="18419"/>
    <cellStyle name="Normal 7 2 2 2 3 3 2 2" xfId="18420"/>
    <cellStyle name="Normal 7 2 2 2 3 3 2 2 2" xfId="18421"/>
    <cellStyle name="Normal 7 2 2 2 3 3 2 3" xfId="18422"/>
    <cellStyle name="Normal 7 2 2 2 3 3 3" xfId="18423"/>
    <cellStyle name="Normal 7 2 2 2 3 3 3 2" xfId="18424"/>
    <cellStyle name="Normal 7 2 2 2 3 3 4" xfId="18425"/>
    <cellStyle name="Normal 7 2 2 2 3 4" xfId="18426"/>
    <cellStyle name="Normal 7 2 2 2 3 4 2" xfId="18427"/>
    <cellStyle name="Normal 7 2 2 2 3 4 2 2" xfId="18428"/>
    <cellStyle name="Normal 7 2 2 2 3 4 3" xfId="18429"/>
    <cellStyle name="Normal 7 2 2 2 3 5" xfId="18430"/>
    <cellStyle name="Normal 7 2 2 2 3 5 2" xfId="18431"/>
    <cellStyle name="Normal 7 2 2 2 3 5 2 2" xfId="18432"/>
    <cellStyle name="Normal 7 2 2 2 3 5 3" xfId="18433"/>
    <cellStyle name="Normal 7 2 2 2 3 6" xfId="18434"/>
    <cellStyle name="Normal 7 2 2 2 3 6 2" xfId="18435"/>
    <cellStyle name="Normal 7 2 2 2 3 7" xfId="18436"/>
    <cellStyle name="Normal 7 2 2 2 3 7 2" xfId="36710"/>
    <cellStyle name="Normal 7 2 2 2 3 8" xfId="18437"/>
    <cellStyle name="Normal 7 2 2 2 4" xfId="18438"/>
    <cellStyle name="Normal 7 2 2 2 4 2" xfId="18439"/>
    <cellStyle name="Normal 7 2 2 2 4 2 2" xfId="18440"/>
    <cellStyle name="Normal 7 2 2 2 4 2 2 2" xfId="18441"/>
    <cellStyle name="Normal 7 2 2 2 4 2 2 3" xfId="18442"/>
    <cellStyle name="Normal 7 2 2 2 4 2 3" xfId="18443"/>
    <cellStyle name="Normal 7 2 2 2 4 2 3 2" xfId="18444"/>
    <cellStyle name="Normal 7 2 2 2 4 2 4" xfId="18445"/>
    <cellStyle name="Normal 7 2 2 2 4 3" xfId="18446"/>
    <cellStyle name="Normal 7 2 2 2 4 3 2" xfId="18447"/>
    <cellStyle name="Normal 7 2 2 2 4 3 2 2" xfId="18448"/>
    <cellStyle name="Normal 7 2 2 2 4 3 3" xfId="18449"/>
    <cellStyle name="Normal 7 2 2 2 4 4" xfId="18450"/>
    <cellStyle name="Normal 7 2 2 2 4 4 2" xfId="18451"/>
    <cellStyle name="Normal 7 2 2 2 4 4 3" xfId="18452"/>
    <cellStyle name="Normal 7 2 2 2 4 5" xfId="18453"/>
    <cellStyle name="Normal 7 2 2 2 4 5 2" xfId="18454"/>
    <cellStyle name="Normal 7 2 2 2 4 6" xfId="18455"/>
    <cellStyle name="Normal 7 2 2 2 4 6 2" xfId="36711"/>
    <cellStyle name="Normal 7 2 2 2 4 7" xfId="18456"/>
    <cellStyle name="Normal 7 2 2 2 5" xfId="18457"/>
    <cellStyle name="Normal 7 2 2 2 5 2" xfId="18458"/>
    <cellStyle name="Normal 7 2 2 2 5 2 2" xfId="18459"/>
    <cellStyle name="Normal 7 2 2 2 5 2 2 2" xfId="18460"/>
    <cellStyle name="Normal 7 2 2 2 5 2 3" xfId="18461"/>
    <cellStyle name="Normal 7 2 2 2 5 3" xfId="18462"/>
    <cellStyle name="Normal 7 2 2 2 5 3 2" xfId="18463"/>
    <cellStyle name="Normal 7 2 2 2 5 4" xfId="18464"/>
    <cellStyle name="Normal 7 2 2 2 6" xfId="18465"/>
    <cellStyle name="Normal 7 2 2 2 6 2" xfId="18466"/>
    <cellStyle name="Normal 7 2 2 2 6 2 2" xfId="18467"/>
    <cellStyle name="Normal 7 2 2 2 6 3" xfId="18468"/>
    <cellStyle name="Normal 7 2 2 2 7" xfId="18469"/>
    <cellStyle name="Normal 7 2 2 2 7 2" xfId="18470"/>
    <cellStyle name="Normal 7 2 2 2 7 2 2" xfId="18471"/>
    <cellStyle name="Normal 7 2 2 2 7 3" xfId="18472"/>
    <cellStyle name="Normal 7 2 2 2 8" xfId="18473"/>
    <cellStyle name="Normal 7 2 2 2 8 2" xfId="18474"/>
    <cellStyle name="Normal 7 2 2 2 9" xfId="18475"/>
    <cellStyle name="Normal 7 2 2 2 9 2" xfId="36712"/>
    <cellStyle name="Normal 7 2 2 3" xfId="18476"/>
    <cellStyle name="Normal 7 2 2 3 2" xfId="18477"/>
    <cellStyle name="Normal 7 2 2 3 2 2" xfId="18478"/>
    <cellStyle name="Normal 7 2 2 3 2 2 2" xfId="18479"/>
    <cellStyle name="Normal 7 2 2 3 2 2 2 2" xfId="18480"/>
    <cellStyle name="Normal 7 2 2 3 2 2 2 2 2" xfId="18481"/>
    <cellStyle name="Normal 7 2 2 3 2 2 2 2 3" xfId="18482"/>
    <cellStyle name="Normal 7 2 2 3 2 2 2 3" xfId="18483"/>
    <cellStyle name="Normal 7 2 2 3 2 2 2 3 2" xfId="18484"/>
    <cellStyle name="Normal 7 2 2 3 2 2 2 4" xfId="18485"/>
    <cellStyle name="Normal 7 2 2 3 2 2 3" xfId="18486"/>
    <cellStyle name="Normal 7 2 2 3 2 2 3 2" xfId="18487"/>
    <cellStyle name="Normal 7 2 2 3 2 2 3 2 2" xfId="18488"/>
    <cellStyle name="Normal 7 2 2 3 2 2 3 3" xfId="18489"/>
    <cellStyle name="Normal 7 2 2 3 2 2 4" xfId="18490"/>
    <cellStyle name="Normal 7 2 2 3 2 2 4 2" xfId="18491"/>
    <cellStyle name="Normal 7 2 2 3 2 2 4 3" xfId="18492"/>
    <cellStyle name="Normal 7 2 2 3 2 2 5" xfId="18493"/>
    <cellStyle name="Normal 7 2 2 3 2 2 5 2" xfId="18494"/>
    <cellStyle name="Normal 7 2 2 3 2 2 6" xfId="18495"/>
    <cellStyle name="Normal 7 2 2 3 2 2 6 2" xfId="36713"/>
    <cellStyle name="Normal 7 2 2 3 2 2 7" xfId="18496"/>
    <cellStyle name="Normal 7 2 2 3 2 3" xfId="18497"/>
    <cellStyle name="Normal 7 2 2 3 2 3 2" xfId="18498"/>
    <cellStyle name="Normal 7 2 2 3 2 3 2 2" xfId="18499"/>
    <cellStyle name="Normal 7 2 2 3 2 3 2 2 2" xfId="18500"/>
    <cellStyle name="Normal 7 2 2 3 2 3 2 3" xfId="18501"/>
    <cellStyle name="Normal 7 2 2 3 2 3 3" xfId="18502"/>
    <cellStyle name="Normal 7 2 2 3 2 3 3 2" xfId="18503"/>
    <cellStyle name="Normal 7 2 2 3 2 3 4" xfId="18504"/>
    <cellStyle name="Normal 7 2 2 3 2 4" xfId="18505"/>
    <cellStyle name="Normal 7 2 2 3 2 4 2" xfId="18506"/>
    <cellStyle name="Normal 7 2 2 3 2 4 2 2" xfId="18507"/>
    <cellStyle name="Normal 7 2 2 3 2 4 3" xfId="18508"/>
    <cellStyle name="Normal 7 2 2 3 2 5" xfId="18509"/>
    <cellStyle name="Normal 7 2 2 3 2 5 2" xfId="18510"/>
    <cellStyle name="Normal 7 2 2 3 2 5 2 2" xfId="18511"/>
    <cellStyle name="Normal 7 2 2 3 2 5 3" xfId="18512"/>
    <cellStyle name="Normal 7 2 2 3 2 6" xfId="18513"/>
    <cellStyle name="Normal 7 2 2 3 2 6 2" xfId="18514"/>
    <cellStyle name="Normal 7 2 2 3 2 7" xfId="18515"/>
    <cellStyle name="Normal 7 2 2 3 2 7 2" xfId="36714"/>
    <cellStyle name="Normal 7 2 2 3 2 8" xfId="18516"/>
    <cellStyle name="Normal 7 2 2 3 3" xfId="18517"/>
    <cellStyle name="Normal 7 2 2 3 3 2" xfId="18518"/>
    <cellStyle name="Normal 7 2 2 3 3 2 2" xfId="18519"/>
    <cellStyle name="Normal 7 2 2 3 3 2 2 2" xfId="18520"/>
    <cellStyle name="Normal 7 2 2 3 3 2 2 3" xfId="18521"/>
    <cellStyle name="Normal 7 2 2 3 3 2 3" xfId="18522"/>
    <cellStyle name="Normal 7 2 2 3 3 2 3 2" xfId="18523"/>
    <cellStyle name="Normal 7 2 2 3 3 2 4" xfId="18524"/>
    <cellStyle name="Normal 7 2 2 3 3 3" xfId="18525"/>
    <cellStyle name="Normal 7 2 2 3 3 3 2" xfId="18526"/>
    <cellStyle name="Normal 7 2 2 3 3 3 2 2" xfId="18527"/>
    <cellStyle name="Normal 7 2 2 3 3 3 3" xfId="18528"/>
    <cellStyle name="Normal 7 2 2 3 3 4" xfId="18529"/>
    <cellStyle name="Normal 7 2 2 3 3 4 2" xfId="18530"/>
    <cellStyle name="Normal 7 2 2 3 3 4 3" xfId="18531"/>
    <cellStyle name="Normal 7 2 2 3 3 5" xfId="18532"/>
    <cellStyle name="Normal 7 2 2 3 3 5 2" xfId="18533"/>
    <cellStyle name="Normal 7 2 2 3 3 6" xfId="18534"/>
    <cellStyle name="Normal 7 2 2 3 3 6 2" xfId="36715"/>
    <cellStyle name="Normal 7 2 2 3 3 7" xfId="18535"/>
    <cellStyle name="Normal 7 2 2 3 4" xfId="18536"/>
    <cellStyle name="Normal 7 2 2 3 4 2" xfId="18537"/>
    <cellStyle name="Normal 7 2 2 3 4 2 2" xfId="18538"/>
    <cellStyle name="Normal 7 2 2 3 4 2 2 2" xfId="18539"/>
    <cellStyle name="Normal 7 2 2 3 4 2 3" xfId="18540"/>
    <cellStyle name="Normal 7 2 2 3 4 3" xfId="18541"/>
    <cellStyle name="Normal 7 2 2 3 4 3 2" xfId="18542"/>
    <cellStyle name="Normal 7 2 2 3 4 4" xfId="18543"/>
    <cellStyle name="Normal 7 2 2 3 5" xfId="18544"/>
    <cellStyle name="Normal 7 2 2 3 5 2" xfId="18545"/>
    <cellStyle name="Normal 7 2 2 3 5 2 2" xfId="18546"/>
    <cellStyle name="Normal 7 2 2 3 5 3" xfId="18547"/>
    <cellStyle name="Normal 7 2 2 3 6" xfId="18548"/>
    <cellStyle name="Normal 7 2 2 3 6 2" xfId="18549"/>
    <cellStyle name="Normal 7 2 2 3 6 2 2" xfId="18550"/>
    <cellStyle name="Normal 7 2 2 3 6 3" xfId="18551"/>
    <cellStyle name="Normal 7 2 2 3 7" xfId="18552"/>
    <cellStyle name="Normal 7 2 2 3 7 2" xfId="18553"/>
    <cellStyle name="Normal 7 2 2 3 8" xfId="18554"/>
    <cellStyle name="Normal 7 2 2 3 8 2" xfId="36716"/>
    <cellStyle name="Normal 7 2 2 3 9" xfId="18555"/>
    <cellStyle name="Normal 7 2 2 4" xfId="18556"/>
    <cellStyle name="Normal 7 2 2 4 2" xfId="18557"/>
    <cellStyle name="Normal 7 2 2 4 2 2" xfId="18558"/>
    <cellStyle name="Normal 7 2 2 4 2 2 2" xfId="18559"/>
    <cellStyle name="Normal 7 2 2 4 2 2 2 2" xfId="18560"/>
    <cellStyle name="Normal 7 2 2 4 2 2 2 2 2" xfId="18561"/>
    <cellStyle name="Normal 7 2 2 4 2 2 2 2 3" xfId="18562"/>
    <cellStyle name="Normal 7 2 2 4 2 2 2 3" xfId="18563"/>
    <cellStyle name="Normal 7 2 2 4 2 2 2 3 2" xfId="18564"/>
    <cellStyle name="Normal 7 2 2 4 2 2 2 4" xfId="18565"/>
    <cellStyle name="Normal 7 2 2 4 2 2 3" xfId="18566"/>
    <cellStyle name="Normal 7 2 2 4 2 2 3 2" xfId="18567"/>
    <cellStyle name="Normal 7 2 2 4 2 2 3 2 2" xfId="18568"/>
    <cellStyle name="Normal 7 2 2 4 2 2 3 3" xfId="18569"/>
    <cellStyle name="Normal 7 2 2 4 2 2 4" xfId="18570"/>
    <cellStyle name="Normal 7 2 2 4 2 2 4 2" xfId="18571"/>
    <cellStyle name="Normal 7 2 2 4 2 2 4 3" xfId="18572"/>
    <cellStyle name="Normal 7 2 2 4 2 2 5" xfId="18573"/>
    <cellStyle name="Normal 7 2 2 4 2 2 5 2" xfId="18574"/>
    <cellStyle name="Normal 7 2 2 4 2 2 6" xfId="18575"/>
    <cellStyle name="Normal 7 2 2 4 2 2 6 2" xfId="36717"/>
    <cellStyle name="Normal 7 2 2 4 2 2 7" xfId="18576"/>
    <cellStyle name="Normal 7 2 2 4 2 3" xfId="18577"/>
    <cellStyle name="Normal 7 2 2 4 2 3 2" xfId="18578"/>
    <cellStyle name="Normal 7 2 2 4 2 3 2 2" xfId="18579"/>
    <cellStyle name="Normal 7 2 2 4 2 3 2 2 2" xfId="18580"/>
    <cellStyle name="Normal 7 2 2 4 2 3 2 3" xfId="18581"/>
    <cellStyle name="Normal 7 2 2 4 2 3 3" xfId="18582"/>
    <cellStyle name="Normal 7 2 2 4 2 3 3 2" xfId="18583"/>
    <cellStyle name="Normal 7 2 2 4 2 3 4" xfId="18584"/>
    <cellStyle name="Normal 7 2 2 4 2 4" xfId="18585"/>
    <cellStyle name="Normal 7 2 2 4 2 4 2" xfId="18586"/>
    <cellStyle name="Normal 7 2 2 4 2 4 2 2" xfId="18587"/>
    <cellStyle name="Normal 7 2 2 4 2 4 3" xfId="18588"/>
    <cellStyle name="Normal 7 2 2 4 2 5" xfId="18589"/>
    <cellStyle name="Normal 7 2 2 4 2 5 2" xfId="18590"/>
    <cellStyle name="Normal 7 2 2 4 2 5 2 2" xfId="18591"/>
    <cellStyle name="Normal 7 2 2 4 2 5 3" xfId="18592"/>
    <cellStyle name="Normal 7 2 2 4 2 6" xfId="18593"/>
    <cellStyle name="Normal 7 2 2 4 2 6 2" xfId="18594"/>
    <cellStyle name="Normal 7 2 2 4 2 7" xfId="18595"/>
    <cellStyle name="Normal 7 2 2 4 2 7 2" xfId="36718"/>
    <cellStyle name="Normal 7 2 2 4 2 8" xfId="18596"/>
    <cellStyle name="Normal 7 2 2 4 3" xfId="18597"/>
    <cellStyle name="Normal 7 2 2 4 3 2" xfId="18598"/>
    <cellStyle name="Normal 7 2 2 4 3 2 2" xfId="18599"/>
    <cellStyle name="Normal 7 2 2 4 3 2 2 2" xfId="18600"/>
    <cellStyle name="Normal 7 2 2 4 3 2 2 3" xfId="18601"/>
    <cellStyle name="Normal 7 2 2 4 3 2 3" xfId="18602"/>
    <cellStyle name="Normal 7 2 2 4 3 2 3 2" xfId="18603"/>
    <cellStyle name="Normal 7 2 2 4 3 2 4" xfId="18604"/>
    <cellStyle name="Normal 7 2 2 4 3 3" xfId="18605"/>
    <cellStyle name="Normal 7 2 2 4 3 3 2" xfId="18606"/>
    <cellStyle name="Normal 7 2 2 4 3 3 2 2" xfId="18607"/>
    <cellStyle name="Normal 7 2 2 4 3 3 3" xfId="18608"/>
    <cellStyle name="Normal 7 2 2 4 3 4" xfId="18609"/>
    <cellStyle name="Normal 7 2 2 4 3 4 2" xfId="18610"/>
    <cellStyle name="Normal 7 2 2 4 3 4 3" xfId="18611"/>
    <cellStyle name="Normal 7 2 2 4 3 5" xfId="18612"/>
    <cellStyle name="Normal 7 2 2 4 3 5 2" xfId="18613"/>
    <cellStyle name="Normal 7 2 2 4 3 6" xfId="18614"/>
    <cellStyle name="Normal 7 2 2 4 3 6 2" xfId="36719"/>
    <cellStyle name="Normal 7 2 2 4 3 7" xfId="18615"/>
    <cellStyle name="Normal 7 2 2 4 4" xfId="18616"/>
    <cellStyle name="Normal 7 2 2 4 4 2" xfId="18617"/>
    <cellStyle name="Normal 7 2 2 4 4 2 2" xfId="18618"/>
    <cellStyle name="Normal 7 2 2 4 4 2 2 2" xfId="18619"/>
    <cellStyle name="Normal 7 2 2 4 4 2 3" xfId="18620"/>
    <cellStyle name="Normal 7 2 2 4 4 3" xfId="18621"/>
    <cellStyle name="Normal 7 2 2 4 4 3 2" xfId="18622"/>
    <cellStyle name="Normal 7 2 2 4 4 4" xfId="18623"/>
    <cellStyle name="Normal 7 2 2 4 5" xfId="18624"/>
    <cellStyle name="Normal 7 2 2 4 5 2" xfId="18625"/>
    <cellStyle name="Normal 7 2 2 4 5 2 2" xfId="18626"/>
    <cellStyle name="Normal 7 2 2 4 5 3" xfId="18627"/>
    <cellStyle name="Normal 7 2 2 4 6" xfId="18628"/>
    <cellStyle name="Normal 7 2 2 4 6 2" xfId="18629"/>
    <cellStyle name="Normal 7 2 2 4 6 2 2" xfId="18630"/>
    <cellStyle name="Normal 7 2 2 4 6 3" xfId="18631"/>
    <cellStyle name="Normal 7 2 2 4 7" xfId="18632"/>
    <cellStyle name="Normal 7 2 2 4 7 2" xfId="18633"/>
    <cellStyle name="Normal 7 2 2 4 8" xfId="18634"/>
    <cellStyle name="Normal 7 2 2 4 8 2" xfId="36720"/>
    <cellStyle name="Normal 7 2 2 4 9" xfId="18635"/>
    <cellStyle name="Normal 7 2 2 5" xfId="18636"/>
    <cellStyle name="Normal 7 2 2 5 2" xfId="18637"/>
    <cellStyle name="Normal 7 2 2 5 2 2" xfId="18638"/>
    <cellStyle name="Normal 7 2 2 5 2 2 2" xfId="18639"/>
    <cellStyle name="Normal 7 2 2 5 2 2 2 2" xfId="18640"/>
    <cellStyle name="Normal 7 2 2 5 2 2 2 3" xfId="18641"/>
    <cellStyle name="Normal 7 2 2 5 2 2 3" xfId="18642"/>
    <cellStyle name="Normal 7 2 2 5 2 2 3 2" xfId="18643"/>
    <cellStyle name="Normal 7 2 2 5 2 2 4" xfId="18644"/>
    <cellStyle name="Normal 7 2 2 5 2 3" xfId="18645"/>
    <cellStyle name="Normal 7 2 2 5 2 3 2" xfId="18646"/>
    <cellStyle name="Normal 7 2 2 5 2 3 2 2" xfId="18647"/>
    <cellStyle name="Normal 7 2 2 5 2 3 3" xfId="18648"/>
    <cellStyle name="Normal 7 2 2 5 2 4" xfId="18649"/>
    <cellStyle name="Normal 7 2 2 5 2 4 2" xfId="18650"/>
    <cellStyle name="Normal 7 2 2 5 2 4 3" xfId="18651"/>
    <cellStyle name="Normal 7 2 2 5 2 5" xfId="18652"/>
    <cellStyle name="Normal 7 2 2 5 2 5 2" xfId="18653"/>
    <cellStyle name="Normal 7 2 2 5 2 6" xfId="18654"/>
    <cellStyle name="Normal 7 2 2 5 2 6 2" xfId="36721"/>
    <cellStyle name="Normal 7 2 2 5 2 7" xfId="18655"/>
    <cellStyle name="Normal 7 2 2 5 3" xfId="18656"/>
    <cellStyle name="Normal 7 2 2 5 3 2" xfId="18657"/>
    <cellStyle name="Normal 7 2 2 5 3 2 2" xfId="18658"/>
    <cellStyle name="Normal 7 2 2 5 3 2 2 2" xfId="18659"/>
    <cellStyle name="Normal 7 2 2 5 3 2 3" xfId="18660"/>
    <cellStyle name="Normal 7 2 2 5 3 3" xfId="18661"/>
    <cellStyle name="Normal 7 2 2 5 3 3 2" xfId="18662"/>
    <cellStyle name="Normal 7 2 2 5 3 4" xfId="18663"/>
    <cellStyle name="Normal 7 2 2 5 4" xfId="18664"/>
    <cellStyle name="Normal 7 2 2 5 4 2" xfId="18665"/>
    <cellStyle name="Normal 7 2 2 5 4 2 2" xfId="18666"/>
    <cellStyle name="Normal 7 2 2 5 4 3" xfId="18667"/>
    <cellStyle name="Normal 7 2 2 5 5" xfId="18668"/>
    <cellStyle name="Normal 7 2 2 5 5 2" xfId="18669"/>
    <cellStyle name="Normal 7 2 2 5 5 2 2" xfId="18670"/>
    <cellStyle name="Normal 7 2 2 5 5 3" xfId="18671"/>
    <cellStyle name="Normal 7 2 2 5 6" xfId="18672"/>
    <cellStyle name="Normal 7 2 2 5 6 2" xfId="18673"/>
    <cellStyle name="Normal 7 2 2 5 7" xfId="18674"/>
    <cellStyle name="Normal 7 2 2 5 7 2" xfId="36722"/>
    <cellStyle name="Normal 7 2 2 5 8" xfId="18675"/>
    <cellStyle name="Normal 7 2 2 6" xfId="18676"/>
    <cellStyle name="Normal 7 2 2 6 2" xfId="18677"/>
    <cellStyle name="Normal 7 2 2 6 2 2" xfId="18678"/>
    <cellStyle name="Normal 7 2 2 6 2 2 2" xfId="18679"/>
    <cellStyle name="Normal 7 2 2 6 2 2 2 2" xfId="18680"/>
    <cellStyle name="Normal 7 2 2 6 2 2 2 3" xfId="18681"/>
    <cellStyle name="Normal 7 2 2 6 2 2 3" xfId="18682"/>
    <cellStyle name="Normal 7 2 2 6 2 2 3 2" xfId="18683"/>
    <cellStyle name="Normal 7 2 2 6 2 2 4" xfId="18684"/>
    <cellStyle name="Normal 7 2 2 6 2 3" xfId="18685"/>
    <cellStyle name="Normal 7 2 2 6 2 3 2" xfId="18686"/>
    <cellStyle name="Normal 7 2 2 6 2 3 2 2" xfId="18687"/>
    <cellStyle name="Normal 7 2 2 6 2 3 3" xfId="18688"/>
    <cellStyle name="Normal 7 2 2 6 2 4" xfId="18689"/>
    <cellStyle name="Normal 7 2 2 6 2 4 2" xfId="18690"/>
    <cellStyle name="Normal 7 2 2 6 2 4 3" xfId="18691"/>
    <cellStyle name="Normal 7 2 2 6 2 5" xfId="18692"/>
    <cellStyle name="Normal 7 2 2 6 2 5 2" xfId="18693"/>
    <cellStyle name="Normal 7 2 2 6 2 6" xfId="18694"/>
    <cellStyle name="Normal 7 2 2 6 2 6 2" xfId="36723"/>
    <cellStyle name="Normal 7 2 2 6 2 7" xfId="18695"/>
    <cellStyle name="Normal 7 2 2 6 3" xfId="18696"/>
    <cellStyle name="Normal 7 2 2 6 3 2" xfId="18697"/>
    <cellStyle name="Normal 7 2 2 6 3 2 2" xfId="18698"/>
    <cellStyle name="Normal 7 2 2 6 3 2 2 2" xfId="18699"/>
    <cellStyle name="Normal 7 2 2 6 3 2 3" xfId="18700"/>
    <cellStyle name="Normal 7 2 2 6 3 3" xfId="18701"/>
    <cellStyle name="Normal 7 2 2 6 3 3 2" xfId="18702"/>
    <cellStyle name="Normal 7 2 2 6 3 4" xfId="18703"/>
    <cellStyle name="Normal 7 2 2 6 4" xfId="18704"/>
    <cellStyle name="Normal 7 2 2 6 4 2" xfId="18705"/>
    <cellStyle name="Normal 7 2 2 6 4 2 2" xfId="18706"/>
    <cellStyle name="Normal 7 2 2 6 4 3" xfId="18707"/>
    <cellStyle name="Normal 7 2 2 6 5" xfId="18708"/>
    <cellStyle name="Normal 7 2 2 6 5 2" xfId="18709"/>
    <cellStyle name="Normal 7 2 2 6 5 2 2" xfId="18710"/>
    <cellStyle name="Normal 7 2 2 6 5 3" xfId="18711"/>
    <cellStyle name="Normal 7 2 2 6 6" xfId="18712"/>
    <cellStyle name="Normal 7 2 2 6 6 2" xfId="18713"/>
    <cellStyle name="Normal 7 2 2 6 7" xfId="18714"/>
    <cellStyle name="Normal 7 2 2 6 7 2" xfId="36724"/>
    <cellStyle name="Normal 7 2 2 6 8" xfId="18715"/>
    <cellStyle name="Normal 7 2 2 7" xfId="18716"/>
    <cellStyle name="Normal 7 2 2 7 2" xfId="18717"/>
    <cellStyle name="Normal 7 2 2 7 2 2" xfId="18718"/>
    <cellStyle name="Normal 7 2 2 7 2 2 2" xfId="18719"/>
    <cellStyle name="Normal 7 2 2 7 2 2 2 2" xfId="18720"/>
    <cellStyle name="Normal 7 2 2 7 2 2 2 3" xfId="18721"/>
    <cellStyle name="Normal 7 2 2 7 2 2 3" xfId="18722"/>
    <cellStyle name="Normal 7 2 2 7 2 2 3 2" xfId="18723"/>
    <cellStyle name="Normal 7 2 2 7 2 2 4" xfId="18724"/>
    <cellStyle name="Normal 7 2 2 7 2 3" xfId="18725"/>
    <cellStyle name="Normal 7 2 2 7 2 3 2" xfId="18726"/>
    <cellStyle name="Normal 7 2 2 7 2 3 2 2" xfId="18727"/>
    <cellStyle name="Normal 7 2 2 7 2 3 3" xfId="18728"/>
    <cellStyle name="Normal 7 2 2 7 2 4" xfId="18729"/>
    <cellStyle name="Normal 7 2 2 7 2 4 2" xfId="18730"/>
    <cellStyle name="Normal 7 2 2 7 2 4 3" xfId="18731"/>
    <cellStyle name="Normal 7 2 2 7 2 5" xfId="18732"/>
    <cellStyle name="Normal 7 2 2 7 2 5 2" xfId="18733"/>
    <cellStyle name="Normal 7 2 2 7 2 6" xfId="18734"/>
    <cellStyle name="Normal 7 2 2 7 2 6 2" xfId="36725"/>
    <cellStyle name="Normal 7 2 2 7 2 7" xfId="18735"/>
    <cellStyle name="Normal 7 2 2 7 3" xfId="18736"/>
    <cellStyle name="Normal 7 2 2 7 3 2" xfId="18737"/>
    <cellStyle name="Normal 7 2 2 7 3 2 2" xfId="18738"/>
    <cellStyle name="Normal 7 2 2 7 3 2 2 2" xfId="18739"/>
    <cellStyle name="Normal 7 2 2 7 3 2 3" xfId="18740"/>
    <cellStyle name="Normal 7 2 2 7 3 3" xfId="18741"/>
    <cellStyle name="Normal 7 2 2 7 3 3 2" xfId="18742"/>
    <cellStyle name="Normal 7 2 2 7 3 4" xfId="18743"/>
    <cellStyle name="Normal 7 2 2 7 4" xfId="18744"/>
    <cellStyle name="Normal 7 2 2 7 4 2" xfId="18745"/>
    <cellStyle name="Normal 7 2 2 7 4 2 2" xfId="18746"/>
    <cellStyle name="Normal 7 2 2 7 4 3" xfId="18747"/>
    <cellStyle name="Normal 7 2 2 7 5" xfId="18748"/>
    <cellStyle name="Normal 7 2 2 7 5 2" xfId="18749"/>
    <cellStyle name="Normal 7 2 2 7 5 2 2" xfId="18750"/>
    <cellStyle name="Normal 7 2 2 7 5 3" xfId="18751"/>
    <cellStyle name="Normal 7 2 2 7 6" xfId="18752"/>
    <cellStyle name="Normal 7 2 2 7 6 2" xfId="18753"/>
    <cellStyle name="Normal 7 2 2 7 7" xfId="18754"/>
    <cellStyle name="Normal 7 2 2 7 7 2" xfId="36726"/>
    <cellStyle name="Normal 7 2 2 7 8" xfId="18755"/>
    <cellStyle name="Normal 7 2 2 8" xfId="18756"/>
    <cellStyle name="Normal 7 2 2 8 2" xfId="18757"/>
    <cellStyle name="Normal 7 2 2 8 2 2" xfId="18758"/>
    <cellStyle name="Normal 7 2 2 8 2 2 2" xfId="18759"/>
    <cellStyle name="Normal 7 2 2 8 2 2 3" xfId="18760"/>
    <cellStyle name="Normal 7 2 2 8 2 3" xfId="18761"/>
    <cellStyle name="Normal 7 2 2 8 2 3 2" xfId="18762"/>
    <cellStyle name="Normal 7 2 2 8 2 4" xfId="18763"/>
    <cellStyle name="Normal 7 2 2 8 3" xfId="18764"/>
    <cellStyle name="Normal 7 2 2 8 3 2" xfId="18765"/>
    <cellStyle name="Normal 7 2 2 8 3 2 2" xfId="18766"/>
    <cellStyle name="Normal 7 2 2 8 3 3" xfId="18767"/>
    <cellStyle name="Normal 7 2 2 8 4" xfId="18768"/>
    <cellStyle name="Normal 7 2 2 8 4 2" xfId="18769"/>
    <cellStyle name="Normal 7 2 2 8 4 3" xfId="18770"/>
    <cellStyle name="Normal 7 2 2 8 5" xfId="18771"/>
    <cellStyle name="Normal 7 2 2 8 5 2" xfId="18772"/>
    <cellStyle name="Normal 7 2 2 8 6" xfId="18773"/>
    <cellStyle name="Normal 7 2 2 8 6 2" xfId="36727"/>
    <cellStyle name="Normal 7 2 2 8 7" xfId="18774"/>
    <cellStyle name="Normal 7 2 2 9" xfId="18775"/>
    <cellStyle name="Normal 7 2 2 9 2" xfId="18776"/>
    <cellStyle name="Normal 7 2 2 9 2 2" xfId="18777"/>
    <cellStyle name="Normal 7 2 2 9 2 2 2" xfId="18778"/>
    <cellStyle name="Normal 7 2 2 9 2 3" xfId="18779"/>
    <cellStyle name="Normal 7 2 2 9 3" xfId="18780"/>
    <cellStyle name="Normal 7 2 2 9 3 2" xfId="18781"/>
    <cellStyle name="Normal 7 2 2 9 4" xfId="18782"/>
    <cellStyle name="Normal 7 2 3" xfId="18783"/>
    <cellStyle name="Normal 7 2 3 10" xfId="18784"/>
    <cellStyle name="Normal 7 2 3 10 2" xfId="18785"/>
    <cellStyle name="Normal 7 2 3 10 2 2" xfId="18786"/>
    <cellStyle name="Normal 7 2 3 10 3" xfId="18787"/>
    <cellStyle name="Normal 7 2 3 11" xfId="18788"/>
    <cellStyle name="Normal 7 2 3 11 2" xfId="18789"/>
    <cellStyle name="Normal 7 2 3 11 2 2" xfId="18790"/>
    <cellStyle name="Normal 7 2 3 11 3" xfId="18791"/>
    <cellStyle name="Normal 7 2 3 12" xfId="18792"/>
    <cellStyle name="Normal 7 2 3 12 2" xfId="18793"/>
    <cellStyle name="Normal 7 2 3 13" xfId="18794"/>
    <cellStyle name="Normal 7 2 3 13 2" xfId="36728"/>
    <cellStyle name="Normal 7 2 3 14" xfId="18795"/>
    <cellStyle name="Normal 7 2 3 2" xfId="18796"/>
    <cellStyle name="Normal 7 2 3 2 10" xfId="18797"/>
    <cellStyle name="Normal 7 2 3 2 2" xfId="18798"/>
    <cellStyle name="Normal 7 2 3 2 2 2" xfId="18799"/>
    <cellStyle name="Normal 7 2 3 2 2 2 2" xfId="18800"/>
    <cellStyle name="Normal 7 2 3 2 2 2 2 2" xfId="18801"/>
    <cellStyle name="Normal 7 2 3 2 2 2 2 2 2" xfId="18802"/>
    <cellStyle name="Normal 7 2 3 2 2 2 2 2 2 2" xfId="18803"/>
    <cellStyle name="Normal 7 2 3 2 2 2 2 2 2 3" xfId="18804"/>
    <cellStyle name="Normal 7 2 3 2 2 2 2 2 3" xfId="18805"/>
    <cellStyle name="Normal 7 2 3 2 2 2 2 2 3 2" xfId="18806"/>
    <cellStyle name="Normal 7 2 3 2 2 2 2 2 4" xfId="18807"/>
    <cellStyle name="Normal 7 2 3 2 2 2 2 3" xfId="18808"/>
    <cellStyle name="Normal 7 2 3 2 2 2 2 3 2" xfId="18809"/>
    <cellStyle name="Normal 7 2 3 2 2 2 2 3 2 2" xfId="18810"/>
    <cellStyle name="Normal 7 2 3 2 2 2 2 3 3" xfId="18811"/>
    <cellStyle name="Normal 7 2 3 2 2 2 2 4" xfId="18812"/>
    <cellStyle name="Normal 7 2 3 2 2 2 2 4 2" xfId="18813"/>
    <cellStyle name="Normal 7 2 3 2 2 2 2 4 3" xfId="18814"/>
    <cellStyle name="Normal 7 2 3 2 2 2 2 5" xfId="18815"/>
    <cellStyle name="Normal 7 2 3 2 2 2 2 5 2" xfId="18816"/>
    <cellStyle name="Normal 7 2 3 2 2 2 2 6" xfId="18817"/>
    <cellStyle name="Normal 7 2 3 2 2 2 2 6 2" xfId="36729"/>
    <cellStyle name="Normal 7 2 3 2 2 2 2 7" xfId="18818"/>
    <cellStyle name="Normal 7 2 3 2 2 2 3" xfId="18819"/>
    <cellStyle name="Normal 7 2 3 2 2 2 3 2" xfId="18820"/>
    <cellStyle name="Normal 7 2 3 2 2 2 3 2 2" xfId="18821"/>
    <cellStyle name="Normal 7 2 3 2 2 2 3 2 2 2" xfId="18822"/>
    <cellStyle name="Normal 7 2 3 2 2 2 3 2 3" xfId="18823"/>
    <cellStyle name="Normal 7 2 3 2 2 2 3 3" xfId="18824"/>
    <cellStyle name="Normal 7 2 3 2 2 2 3 3 2" xfId="18825"/>
    <cellStyle name="Normal 7 2 3 2 2 2 3 4" xfId="18826"/>
    <cellStyle name="Normal 7 2 3 2 2 2 4" xfId="18827"/>
    <cellStyle name="Normal 7 2 3 2 2 2 4 2" xfId="18828"/>
    <cellStyle name="Normal 7 2 3 2 2 2 4 2 2" xfId="18829"/>
    <cellStyle name="Normal 7 2 3 2 2 2 4 3" xfId="18830"/>
    <cellStyle name="Normal 7 2 3 2 2 2 5" xfId="18831"/>
    <cellStyle name="Normal 7 2 3 2 2 2 5 2" xfId="18832"/>
    <cellStyle name="Normal 7 2 3 2 2 2 5 2 2" xfId="18833"/>
    <cellStyle name="Normal 7 2 3 2 2 2 5 3" xfId="18834"/>
    <cellStyle name="Normal 7 2 3 2 2 2 6" xfId="18835"/>
    <cellStyle name="Normal 7 2 3 2 2 2 6 2" xfId="18836"/>
    <cellStyle name="Normal 7 2 3 2 2 2 7" xfId="18837"/>
    <cellStyle name="Normal 7 2 3 2 2 2 7 2" xfId="36730"/>
    <cellStyle name="Normal 7 2 3 2 2 2 8" xfId="18838"/>
    <cellStyle name="Normal 7 2 3 2 2 3" xfId="18839"/>
    <cellStyle name="Normal 7 2 3 2 2 3 2" xfId="18840"/>
    <cellStyle name="Normal 7 2 3 2 2 3 2 2" xfId="18841"/>
    <cellStyle name="Normal 7 2 3 2 2 3 2 2 2" xfId="18842"/>
    <cellStyle name="Normal 7 2 3 2 2 3 2 2 3" xfId="18843"/>
    <cellStyle name="Normal 7 2 3 2 2 3 2 3" xfId="18844"/>
    <cellStyle name="Normal 7 2 3 2 2 3 2 3 2" xfId="18845"/>
    <cellStyle name="Normal 7 2 3 2 2 3 2 4" xfId="18846"/>
    <cellStyle name="Normal 7 2 3 2 2 3 3" xfId="18847"/>
    <cellStyle name="Normal 7 2 3 2 2 3 3 2" xfId="18848"/>
    <cellStyle name="Normal 7 2 3 2 2 3 3 2 2" xfId="18849"/>
    <cellStyle name="Normal 7 2 3 2 2 3 3 3" xfId="18850"/>
    <cellStyle name="Normal 7 2 3 2 2 3 4" xfId="18851"/>
    <cellStyle name="Normal 7 2 3 2 2 3 4 2" xfId="18852"/>
    <cellStyle name="Normal 7 2 3 2 2 3 4 3" xfId="18853"/>
    <cellStyle name="Normal 7 2 3 2 2 3 5" xfId="18854"/>
    <cellStyle name="Normal 7 2 3 2 2 3 5 2" xfId="18855"/>
    <cellStyle name="Normal 7 2 3 2 2 3 6" xfId="18856"/>
    <cellStyle name="Normal 7 2 3 2 2 3 6 2" xfId="36731"/>
    <cellStyle name="Normal 7 2 3 2 2 3 7" xfId="18857"/>
    <cellStyle name="Normal 7 2 3 2 2 4" xfId="18858"/>
    <cellStyle name="Normal 7 2 3 2 2 4 2" xfId="18859"/>
    <cellStyle name="Normal 7 2 3 2 2 4 2 2" xfId="18860"/>
    <cellStyle name="Normal 7 2 3 2 2 4 2 2 2" xfId="18861"/>
    <cellStyle name="Normal 7 2 3 2 2 4 2 3" xfId="18862"/>
    <cellStyle name="Normal 7 2 3 2 2 4 3" xfId="18863"/>
    <cellStyle name="Normal 7 2 3 2 2 4 3 2" xfId="18864"/>
    <cellStyle name="Normal 7 2 3 2 2 4 4" xfId="18865"/>
    <cellStyle name="Normal 7 2 3 2 2 5" xfId="18866"/>
    <cellStyle name="Normal 7 2 3 2 2 5 2" xfId="18867"/>
    <cellStyle name="Normal 7 2 3 2 2 5 2 2" xfId="18868"/>
    <cellStyle name="Normal 7 2 3 2 2 5 3" xfId="18869"/>
    <cellStyle name="Normal 7 2 3 2 2 6" xfId="18870"/>
    <cellStyle name="Normal 7 2 3 2 2 6 2" xfId="18871"/>
    <cellStyle name="Normal 7 2 3 2 2 6 2 2" xfId="18872"/>
    <cellStyle name="Normal 7 2 3 2 2 6 3" xfId="18873"/>
    <cellStyle name="Normal 7 2 3 2 2 7" xfId="18874"/>
    <cellStyle name="Normal 7 2 3 2 2 7 2" xfId="18875"/>
    <cellStyle name="Normal 7 2 3 2 2 8" xfId="18876"/>
    <cellStyle name="Normal 7 2 3 2 2 8 2" xfId="36732"/>
    <cellStyle name="Normal 7 2 3 2 2 9" xfId="18877"/>
    <cellStyle name="Normal 7 2 3 2 3" xfId="18878"/>
    <cellStyle name="Normal 7 2 3 2 3 2" xfId="18879"/>
    <cellStyle name="Normal 7 2 3 2 3 2 2" xfId="18880"/>
    <cellStyle name="Normal 7 2 3 2 3 2 2 2" xfId="18881"/>
    <cellStyle name="Normal 7 2 3 2 3 2 2 2 2" xfId="18882"/>
    <cellStyle name="Normal 7 2 3 2 3 2 2 2 3" xfId="18883"/>
    <cellStyle name="Normal 7 2 3 2 3 2 2 3" xfId="18884"/>
    <cellStyle name="Normal 7 2 3 2 3 2 2 3 2" xfId="18885"/>
    <cellStyle name="Normal 7 2 3 2 3 2 2 4" xfId="18886"/>
    <cellStyle name="Normal 7 2 3 2 3 2 3" xfId="18887"/>
    <cellStyle name="Normal 7 2 3 2 3 2 3 2" xfId="18888"/>
    <cellStyle name="Normal 7 2 3 2 3 2 3 2 2" xfId="18889"/>
    <cellStyle name="Normal 7 2 3 2 3 2 3 3" xfId="18890"/>
    <cellStyle name="Normal 7 2 3 2 3 2 4" xfId="18891"/>
    <cellStyle name="Normal 7 2 3 2 3 2 4 2" xfId="18892"/>
    <cellStyle name="Normal 7 2 3 2 3 2 4 3" xfId="18893"/>
    <cellStyle name="Normal 7 2 3 2 3 2 5" xfId="18894"/>
    <cellStyle name="Normal 7 2 3 2 3 2 5 2" xfId="18895"/>
    <cellStyle name="Normal 7 2 3 2 3 2 6" xfId="18896"/>
    <cellStyle name="Normal 7 2 3 2 3 2 6 2" xfId="36733"/>
    <cellStyle name="Normal 7 2 3 2 3 2 7" xfId="18897"/>
    <cellStyle name="Normal 7 2 3 2 3 3" xfId="18898"/>
    <cellStyle name="Normal 7 2 3 2 3 3 2" xfId="18899"/>
    <cellStyle name="Normal 7 2 3 2 3 3 2 2" xfId="18900"/>
    <cellStyle name="Normal 7 2 3 2 3 3 2 2 2" xfId="18901"/>
    <cellStyle name="Normal 7 2 3 2 3 3 2 3" xfId="18902"/>
    <cellStyle name="Normal 7 2 3 2 3 3 3" xfId="18903"/>
    <cellStyle name="Normal 7 2 3 2 3 3 3 2" xfId="18904"/>
    <cellStyle name="Normal 7 2 3 2 3 3 4" xfId="18905"/>
    <cellStyle name="Normal 7 2 3 2 3 4" xfId="18906"/>
    <cellStyle name="Normal 7 2 3 2 3 4 2" xfId="18907"/>
    <cellStyle name="Normal 7 2 3 2 3 4 2 2" xfId="18908"/>
    <cellStyle name="Normal 7 2 3 2 3 4 3" xfId="18909"/>
    <cellStyle name="Normal 7 2 3 2 3 5" xfId="18910"/>
    <cellStyle name="Normal 7 2 3 2 3 5 2" xfId="18911"/>
    <cellStyle name="Normal 7 2 3 2 3 5 2 2" xfId="18912"/>
    <cellStyle name="Normal 7 2 3 2 3 5 3" xfId="18913"/>
    <cellStyle name="Normal 7 2 3 2 3 6" xfId="18914"/>
    <cellStyle name="Normal 7 2 3 2 3 6 2" xfId="18915"/>
    <cellStyle name="Normal 7 2 3 2 3 7" xfId="18916"/>
    <cellStyle name="Normal 7 2 3 2 3 7 2" xfId="36734"/>
    <cellStyle name="Normal 7 2 3 2 3 8" xfId="18917"/>
    <cellStyle name="Normal 7 2 3 2 4" xfId="18918"/>
    <cellStyle name="Normal 7 2 3 2 4 2" xfId="18919"/>
    <cellStyle name="Normal 7 2 3 2 4 2 2" xfId="18920"/>
    <cellStyle name="Normal 7 2 3 2 4 2 2 2" xfId="18921"/>
    <cellStyle name="Normal 7 2 3 2 4 2 2 3" xfId="18922"/>
    <cellStyle name="Normal 7 2 3 2 4 2 3" xfId="18923"/>
    <cellStyle name="Normal 7 2 3 2 4 2 3 2" xfId="18924"/>
    <cellStyle name="Normal 7 2 3 2 4 2 4" xfId="18925"/>
    <cellStyle name="Normal 7 2 3 2 4 3" xfId="18926"/>
    <cellStyle name="Normal 7 2 3 2 4 3 2" xfId="18927"/>
    <cellStyle name="Normal 7 2 3 2 4 3 2 2" xfId="18928"/>
    <cellStyle name="Normal 7 2 3 2 4 3 3" xfId="18929"/>
    <cellStyle name="Normal 7 2 3 2 4 4" xfId="18930"/>
    <cellStyle name="Normal 7 2 3 2 4 4 2" xfId="18931"/>
    <cellStyle name="Normal 7 2 3 2 4 4 3" xfId="18932"/>
    <cellStyle name="Normal 7 2 3 2 4 5" xfId="18933"/>
    <cellStyle name="Normal 7 2 3 2 4 5 2" xfId="18934"/>
    <cellStyle name="Normal 7 2 3 2 4 6" xfId="18935"/>
    <cellStyle name="Normal 7 2 3 2 4 6 2" xfId="36735"/>
    <cellStyle name="Normal 7 2 3 2 4 7" xfId="18936"/>
    <cellStyle name="Normal 7 2 3 2 5" xfId="18937"/>
    <cellStyle name="Normal 7 2 3 2 5 2" xfId="18938"/>
    <cellStyle name="Normal 7 2 3 2 5 2 2" xfId="18939"/>
    <cellStyle name="Normal 7 2 3 2 5 2 2 2" xfId="18940"/>
    <cellStyle name="Normal 7 2 3 2 5 2 3" xfId="18941"/>
    <cellStyle name="Normal 7 2 3 2 5 3" xfId="18942"/>
    <cellStyle name="Normal 7 2 3 2 5 3 2" xfId="18943"/>
    <cellStyle name="Normal 7 2 3 2 5 4" xfId="18944"/>
    <cellStyle name="Normal 7 2 3 2 6" xfId="18945"/>
    <cellStyle name="Normal 7 2 3 2 6 2" xfId="18946"/>
    <cellStyle name="Normal 7 2 3 2 6 2 2" xfId="18947"/>
    <cellStyle name="Normal 7 2 3 2 6 3" xfId="18948"/>
    <cellStyle name="Normal 7 2 3 2 7" xfId="18949"/>
    <cellStyle name="Normal 7 2 3 2 7 2" xfId="18950"/>
    <cellStyle name="Normal 7 2 3 2 7 2 2" xfId="18951"/>
    <cellStyle name="Normal 7 2 3 2 7 3" xfId="18952"/>
    <cellStyle name="Normal 7 2 3 2 8" xfId="18953"/>
    <cellStyle name="Normal 7 2 3 2 8 2" xfId="18954"/>
    <cellStyle name="Normal 7 2 3 2 9" xfId="18955"/>
    <cellStyle name="Normal 7 2 3 2 9 2" xfId="36736"/>
    <cellStyle name="Normal 7 2 3 3" xfId="18956"/>
    <cellStyle name="Normal 7 2 3 3 2" xfId="18957"/>
    <cellStyle name="Normal 7 2 3 3 2 2" xfId="18958"/>
    <cellStyle name="Normal 7 2 3 3 2 2 2" xfId="18959"/>
    <cellStyle name="Normal 7 2 3 3 2 2 2 2" xfId="18960"/>
    <cellStyle name="Normal 7 2 3 3 2 2 2 2 2" xfId="18961"/>
    <cellStyle name="Normal 7 2 3 3 2 2 2 2 3" xfId="18962"/>
    <cellStyle name="Normal 7 2 3 3 2 2 2 3" xfId="18963"/>
    <cellStyle name="Normal 7 2 3 3 2 2 2 3 2" xfId="18964"/>
    <cellStyle name="Normal 7 2 3 3 2 2 2 4" xfId="18965"/>
    <cellStyle name="Normal 7 2 3 3 2 2 3" xfId="18966"/>
    <cellStyle name="Normal 7 2 3 3 2 2 3 2" xfId="18967"/>
    <cellStyle name="Normal 7 2 3 3 2 2 3 2 2" xfId="18968"/>
    <cellStyle name="Normal 7 2 3 3 2 2 3 3" xfId="18969"/>
    <cellStyle name="Normal 7 2 3 3 2 2 4" xfId="18970"/>
    <cellStyle name="Normal 7 2 3 3 2 2 4 2" xfId="18971"/>
    <cellStyle name="Normal 7 2 3 3 2 2 4 3" xfId="18972"/>
    <cellStyle name="Normal 7 2 3 3 2 2 5" xfId="18973"/>
    <cellStyle name="Normal 7 2 3 3 2 2 5 2" xfId="18974"/>
    <cellStyle name="Normal 7 2 3 3 2 2 6" xfId="18975"/>
    <cellStyle name="Normal 7 2 3 3 2 2 6 2" xfId="36737"/>
    <cellStyle name="Normal 7 2 3 3 2 2 7" xfId="18976"/>
    <cellStyle name="Normal 7 2 3 3 2 3" xfId="18977"/>
    <cellStyle name="Normal 7 2 3 3 2 3 2" xfId="18978"/>
    <cellStyle name="Normal 7 2 3 3 2 3 2 2" xfId="18979"/>
    <cellStyle name="Normal 7 2 3 3 2 3 2 2 2" xfId="18980"/>
    <cellStyle name="Normal 7 2 3 3 2 3 2 3" xfId="18981"/>
    <cellStyle name="Normal 7 2 3 3 2 3 3" xfId="18982"/>
    <cellStyle name="Normal 7 2 3 3 2 3 3 2" xfId="18983"/>
    <cellStyle name="Normal 7 2 3 3 2 3 4" xfId="18984"/>
    <cellStyle name="Normal 7 2 3 3 2 4" xfId="18985"/>
    <cellStyle name="Normal 7 2 3 3 2 4 2" xfId="18986"/>
    <cellStyle name="Normal 7 2 3 3 2 4 2 2" xfId="18987"/>
    <cellStyle name="Normal 7 2 3 3 2 4 3" xfId="18988"/>
    <cellStyle name="Normal 7 2 3 3 2 5" xfId="18989"/>
    <cellStyle name="Normal 7 2 3 3 2 5 2" xfId="18990"/>
    <cellStyle name="Normal 7 2 3 3 2 5 2 2" xfId="18991"/>
    <cellStyle name="Normal 7 2 3 3 2 5 3" xfId="18992"/>
    <cellStyle name="Normal 7 2 3 3 2 6" xfId="18993"/>
    <cellStyle name="Normal 7 2 3 3 2 6 2" xfId="18994"/>
    <cellStyle name="Normal 7 2 3 3 2 7" xfId="18995"/>
    <cellStyle name="Normal 7 2 3 3 2 7 2" xfId="36738"/>
    <cellStyle name="Normal 7 2 3 3 2 8" xfId="18996"/>
    <cellStyle name="Normal 7 2 3 3 3" xfId="18997"/>
    <cellStyle name="Normal 7 2 3 3 3 2" xfId="18998"/>
    <cellStyle name="Normal 7 2 3 3 3 2 2" xfId="18999"/>
    <cellStyle name="Normal 7 2 3 3 3 2 2 2" xfId="19000"/>
    <cellStyle name="Normal 7 2 3 3 3 2 2 3" xfId="19001"/>
    <cellStyle name="Normal 7 2 3 3 3 2 3" xfId="19002"/>
    <cellStyle name="Normal 7 2 3 3 3 2 3 2" xfId="19003"/>
    <cellStyle name="Normal 7 2 3 3 3 2 4" xfId="19004"/>
    <cellStyle name="Normal 7 2 3 3 3 3" xfId="19005"/>
    <cellStyle name="Normal 7 2 3 3 3 3 2" xfId="19006"/>
    <cellStyle name="Normal 7 2 3 3 3 3 2 2" xfId="19007"/>
    <cellStyle name="Normal 7 2 3 3 3 3 3" xfId="19008"/>
    <cellStyle name="Normal 7 2 3 3 3 4" xfId="19009"/>
    <cellStyle name="Normal 7 2 3 3 3 4 2" xfId="19010"/>
    <cellStyle name="Normal 7 2 3 3 3 4 3" xfId="19011"/>
    <cellStyle name="Normal 7 2 3 3 3 5" xfId="19012"/>
    <cellStyle name="Normal 7 2 3 3 3 5 2" xfId="19013"/>
    <cellStyle name="Normal 7 2 3 3 3 6" xfId="19014"/>
    <cellStyle name="Normal 7 2 3 3 3 6 2" xfId="36739"/>
    <cellStyle name="Normal 7 2 3 3 3 7" xfId="19015"/>
    <cellStyle name="Normal 7 2 3 3 4" xfId="19016"/>
    <cellStyle name="Normal 7 2 3 3 4 2" xfId="19017"/>
    <cellStyle name="Normal 7 2 3 3 4 2 2" xfId="19018"/>
    <cellStyle name="Normal 7 2 3 3 4 2 2 2" xfId="19019"/>
    <cellStyle name="Normal 7 2 3 3 4 2 3" xfId="19020"/>
    <cellStyle name="Normal 7 2 3 3 4 3" xfId="19021"/>
    <cellStyle name="Normal 7 2 3 3 4 3 2" xfId="19022"/>
    <cellStyle name="Normal 7 2 3 3 4 4" xfId="19023"/>
    <cellStyle name="Normal 7 2 3 3 5" xfId="19024"/>
    <cellStyle name="Normal 7 2 3 3 5 2" xfId="19025"/>
    <cellStyle name="Normal 7 2 3 3 5 2 2" xfId="19026"/>
    <cellStyle name="Normal 7 2 3 3 5 3" xfId="19027"/>
    <cellStyle name="Normal 7 2 3 3 6" xfId="19028"/>
    <cellStyle name="Normal 7 2 3 3 6 2" xfId="19029"/>
    <cellStyle name="Normal 7 2 3 3 6 2 2" xfId="19030"/>
    <cellStyle name="Normal 7 2 3 3 6 3" xfId="19031"/>
    <cellStyle name="Normal 7 2 3 3 7" xfId="19032"/>
    <cellStyle name="Normal 7 2 3 3 7 2" xfId="19033"/>
    <cellStyle name="Normal 7 2 3 3 8" xfId="19034"/>
    <cellStyle name="Normal 7 2 3 3 8 2" xfId="36740"/>
    <cellStyle name="Normal 7 2 3 3 9" xfId="19035"/>
    <cellStyle name="Normal 7 2 3 4" xfId="19036"/>
    <cellStyle name="Normal 7 2 3 4 2" xfId="19037"/>
    <cellStyle name="Normal 7 2 3 4 2 2" xfId="19038"/>
    <cellStyle name="Normal 7 2 3 4 2 2 2" xfId="19039"/>
    <cellStyle name="Normal 7 2 3 4 2 2 2 2" xfId="19040"/>
    <cellStyle name="Normal 7 2 3 4 2 2 2 2 2" xfId="19041"/>
    <cellStyle name="Normal 7 2 3 4 2 2 2 2 3" xfId="19042"/>
    <cellStyle name="Normal 7 2 3 4 2 2 2 3" xfId="19043"/>
    <cellStyle name="Normal 7 2 3 4 2 2 2 3 2" xfId="19044"/>
    <cellStyle name="Normal 7 2 3 4 2 2 2 4" xfId="19045"/>
    <cellStyle name="Normal 7 2 3 4 2 2 3" xfId="19046"/>
    <cellStyle name="Normal 7 2 3 4 2 2 3 2" xfId="19047"/>
    <cellStyle name="Normal 7 2 3 4 2 2 3 2 2" xfId="19048"/>
    <cellStyle name="Normal 7 2 3 4 2 2 3 3" xfId="19049"/>
    <cellStyle name="Normal 7 2 3 4 2 2 4" xfId="19050"/>
    <cellStyle name="Normal 7 2 3 4 2 2 4 2" xfId="19051"/>
    <cellStyle name="Normal 7 2 3 4 2 2 4 3" xfId="19052"/>
    <cellStyle name="Normal 7 2 3 4 2 2 5" xfId="19053"/>
    <cellStyle name="Normal 7 2 3 4 2 2 5 2" xfId="19054"/>
    <cellStyle name="Normal 7 2 3 4 2 2 6" xfId="19055"/>
    <cellStyle name="Normal 7 2 3 4 2 2 6 2" xfId="36741"/>
    <cellStyle name="Normal 7 2 3 4 2 2 7" xfId="19056"/>
    <cellStyle name="Normal 7 2 3 4 2 3" xfId="19057"/>
    <cellStyle name="Normal 7 2 3 4 2 3 2" xfId="19058"/>
    <cellStyle name="Normal 7 2 3 4 2 3 2 2" xfId="19059"/>
    <cellStyle name="Normal 7 2 3 4 2 3 2 2 2" xfId="19060"/>
    <cellStyle name="Normal 7 2 3 4 2 3 2 3" xfId="19061"/>
    <cellStyle name="Normal 7 2 3 4 2 3 3" xfId="19062"/>
    <cellStyle name="Normal 7 2 3 4 2 3 3 2" xfId="19063"/>
    <cellStyle name="Normal 7 2 3 4 2 3 4" xfId="19064"/>
    <cellStyle name="Normal 7 2 3 4 2 4" xfId="19065"/>
    <cellStyle name="Normal 7 2 3 4 2 4 2" xfId="19066"/>
    <cellStyle name="Normal 7 2 3 4 2 4 2 2" xfId="19067"/>
    <cellStyle name="Normal 7 2 3 4 2 4 3" xfId="19068"/>
    <cellStyle name="Normal 7 2 3 4 2 5" xfId="19069"/>
    <cellStyle name="Normal 7 2 3 4 2 5 2" xfId="19070"/>
    <cellStyle name="Normal 7 2 3 4 2 5 2 2" xfId="19071"/>
    <cellStyle name="Normal 7 2 3 4 2 5 3" xfId="19072"/>
    <cellStyle name="Normal 7 2 3 4 2 6" xfId="19073"/>
    <cellStyle name="Normal 7 2 3 4 2 6 2" xfId="19074"/>
    <cellStyle name="Normal 7 2 3 4 2 7" xfId="19075"/>
    <cellStyle name="Normal 7 2 3 4 2 7 2" xfId="36742"/>
    <cellStyle name="Normal 7 2 3 4 2 8" xfId="19076"/>
    <cellStyle name="Normal 7 2 3 4 3" xfId="19077"/>
    <cellStyle name="Normal 7 2 3 4 3 2" xfId="19078"/>
    <cellStyle name="Normal 7 2 3 4 3 2 2" xfId="19079"/>
    <cellStyle name="Normal 7 2 3 4 3 2 2 2" xfId="19080"/>
    <cellStyle name="Normal 7 2 3 4 3 2 2 3" xfId="19081"/>
    <cellStyle name="Normal 7 2 3 4 3 2 3" xfId="19082"/>
    <cellStyle name="Normal 7 2 3 4 3 2 3 2" xfId="19083"/>
    <cellStyle name="Normal 7 2 3 4 3 2 4" xfId="19084"/>
    <cellStyle name="Normal 7 2 3 4 3 3" xfId="19085"/>
    <cellStyle name="Normal 7 2 3 4 3 3 2" xfId="19086"/>
    <cellStyle name="Normal 7 2 3 4 3 3 2 2" xfId="19087"/>
    <cellStyle name="Normal 7 2 3 4 3 3 3" xfId="19088"/>
    <cellStyle name="Normal 7 2 3 4 3 4" xfId="19089"/>
    <cellStyle name="Normal 7 2 3 4 3 4 2" xfId="19090"/>
    <cellStyle name="Normal 7 2 3 4 3 4 3" xfId="19091"/>
    <cellStyle name="Normal 7 2 3 4 3 5" xfId="19092"/>
    <cellStyle name="Normal 7 2 3 4 3 5 2" xfId="19093"/>
    <cellStyle name="Normal 7 2 3 4 3 6" xfId="19094"/>
    <cellStyle name="Normal 7 2 3 4 3 6 2" xfId="36743"/>
    <cellStyle name="Normal 7 2 3 4 3 7" xfId="19095"/>
    <cellStyle name="Normal 7 2 3 4 4" xfId="19096"/>
    <cellStyle name="Normal 7 2 3 4 4 2" xfId="19097"/>
    <cellStyle name="Normal 7 2 3 4 4 2 2" xfId="19098"/>
    <cellStyle name="Normal 7 2 3 4 4 2 2 2" xfId="19099"/>
    <cellStyle name="Normal 7 2 3 4 4 2 3" xfId="19100"/>
    <cellStyle name="Normal 7 2 3 4 4 3" xfId="19101"/>
    <cellStyle name="Normal 7 2 3 4 4 3 2" xfId="19102"/>
    <cellStyle name="Normal 7 2 3 4 4 4" xfId="19103"/>
    <cellStyle name="Normal 7 2 3 4 5" xfId="19104"/>
    <cellStyle name="Normal 7 2 3 4 5 2" xfId="19105"/>
    <cellStyle name="Normal 7 2 3 4 5 2 2" xfId="19106"/>
    <cellStyle name="Normal 7 2 3 4 5 3" xfId="19107"/>
    <cellStyle name="Normal 7 2 3 4 6" xfId="19108"/>
    <cellStyle name="Normal 7 2 3 4 6 2" xfId="19109"/>
    <cellStyle name="Normal 7 2 3 4 6 2 2" xfId="19110"/>
    <cellStyle name="Normal 7 2 3 4 6 3" xfId="19111"/>
    <cellStyle name="Normal 7 2 3 4 7" xfId="19112"/>
    <cellStyle name="Normal 7 2 3 4 7 2" xfId="19113"/>
    <cellStyle name="Normal 7 2 3 4 8" xfId="19114"/>
    <cellStyle name="Normal 7 2 3 4 8 2" xfId="36744"/>
    <cellStyle name="Normal 7 2 3 4 9" xfId="19115"/>
    <cellStyle name="Normal 7 2 3 5" xfId="19116"/>
    <cellStyle name="Normal 7 2 3 5 2" xfId="19117"/>
    <cellStyle name="Normal 7 2 3 5 2 2" xfId="19118"/>
    <cellStyle name="Normal 7 2 3 5 2 2 2" xfId="19119"/>
    <cellStyle name="Normal 7 2 3 5 2 2 2 2" xfId="19120"/>
    <cellStyle name="Normal 7 2 3 5 2 2 2 3" xfId="19121"/>
    <cellStyle name="Normal 7 2 3 5 2 2 3" xfId="19122"/>
    <cellStyle name="Normal 7 2 3 5 2 2 3 2" xfId="19123"/>
    <cellStyle name="Normal 7 2 3 5 2 2 4" xfId="19124"/>
    <cellStyle name="Normal 7 2 3 5 2 3" xfId="19125"/>
    <cellStyle name="Normal 7 2 3 5 2 3 2" xfId="19126"/>
    <cellStyle name="Normal 7 2 3 5 2 3 2 2" xfId="19127"/>
    <cellStyle name="Normal 7 2 3 5 2 3 3" xfId="19128"/>
    <cellStyle name="Normal 7 2 3 5 2 4" xfId="19129"/>
    <cellStyle name="Normal 7 2 3 5 2 4 2" xfId="19130"/>
    <cellStyle name="Normal 7 2 3 5 2 4 3" xfId="19131"/>
    <cellStyle name="Normal 7 2 3 5 2 5" xfId="19132"/>
    <cellStyle name="Normal 7 2 3 5 2 5 2" xfId="19133"/>
    <cellStyle name="Normal 7 2 3 5 2 6" xfId="19134"/>
    <cellStyle name="Normal 7 2 3 5 2 6 2" xfId="36745"/>
    <cellStyle name="Normal 7 2 3 5 2 7" xfId="19135"/>
    <cellStyle name="Normal 7 2 3 5 3" xfId="19136"/>
    <cellStyle name="Normal 7 2 3 5 3 2" xfId="19137"/>
    <cellStyle name="Normal 7 2 3 5 3 2 2" xfId="19138"/>
    <cellStyle name="Normal 7 2 3 5 3 2 2 2" xfId="19139"/>
    <cellStyle name="Normal 7 2 3 5 3 2 3" xfId="19140"/>
    <cellStyle name="Normal 7 2 3 5 3 3" xfId="19141"/>
    <cellStyle name="Normal 7 2 3 5 3 3 2" xfId="19142"/>
    <cellStyle name="Normal 7 2 3 5 3 4" xfId="19143"/>
    <cellStyle name="Normal 7 2 3 5 4" xfId="19144"/>
    <cellStyle name="Normal 7 2 3 5 4 2" xfId="19145"/>
    <cellStyle name="Normal 7 2 3 5 4 2 2" xfId="19146"/>
    <cellStyle name="Normal 7 2 3 5 4 3" xfId="19147"/>
    <cellStyle name="Normal 7 2 3 5 5" xfId="19148"/>
    <cellStyle name="Normal 7 2 3 5 5 2" xfId="19149"/>
    <cellStyle name="Normal 7 2 3 5 5 2 2" xfId="19150"/>
    <cellStyle name="Normal 7 2 3 5 5 3" xfId="19151"/>
    <cellStyle name="Normal 7 2 3 5 6" xfId="19152"/>
    <cellStyle name="Normal 7 2 3 5 6 2" xfId="19153"/>
    <cellStyle name="Normal 7 2 3 5 7" xfId="19154"/>
    <cellStyle name="Normal 7 2 3 5 7 2" xfId="36746"/>
    <cellStyle name="Normal 7 2 3 5 8" xfId="19155"/>
    <cellStyle name="Normal 7 2 3 6" xfId="19156"/>
    <cellStyle name="Normal 7 2 3 6 2" xfId="19157"/>
    <cellStyle name="Normal 7 2 3 6 2 2" xfId="19158"/>
    <cellStyle name="Normal 7 2 3 6 2 2 2" xfId="19159"/>
    <cellStyle name="Normal 7 2 3 6 2 2 2 2" xfId="19160"/>
    <cellStyle name="Normal 7 2 3 6 2 2 2 3" xfId="19161"/>
    <cellStyle name="Normal 7 2 3 6 2 2 3" xfId="19162"/>
    <cellStyle name="Normal 7 2 3 6 2 2 3 2" xfId="19163"/>
    <cellStyle name="Normal 7 2 3 6 2 2 4" xfId="19164"/>
    <cellStyle name="Normal 7 2 3 6 2 3" xfId="19165"/>
    <cellStyle name="Normal 7 2 3 6 2 3 2" xfId="19166"/>
    <cellStyle name="Normal 7 2 3 6 2 3 2 2" xfId="19167"/>
    <cellStyle name="Normal 7 2 3 6 2 3 3" xfId="19168"/>
    <cellStyle name="Normal 7 2 3 6 2 4" xfId="19169"/>
    <cellStyle name="Normal 7 2 3 6 2 4 2" xfId="19170"/>
    <cellStyle name="Normal 7 2 3 6 2 4 3" xfId="19171"/>
    <cellStyle name="Normal 7 2 3 6 2 5" xfId="19172"/>
    <cellStyle name="Normal 7 2 3 6 2 5 2" xfId="19173"/>
    <cellStyle name="Normal 7 2 3 6 2 6" xfId="19174"/>
    <cellStyle name="Normal 7 2 3 6 2 6 2" xfId="36747"/>
    <cellStyle name="Normal 7 2 3 6 2 7" xfId="19175"/>
    <cellStyle name="Normal 7 2 3 6 3" xfId="19176"/>
    <cellStyle name="Normal 7 2 3 6 3 2" xfId="19177"/>
    <cellStyle name="Normal 7 2 3 6 3 2 2" xfId="19178"/>
    <cellStyle name="Normal 7 2 3 6 3 2 2 2" xfId="19179"/>
    <cellStyle name="Normal 7 2 3 6 3 2 3" xfId="19180"/>
    <cellStyle name="Normal 7 2 3 6 3 3" xfId="19181"/>
    <cellStyle name="Normal 7 2 3 6 3 3 2" xfId="19182"/>
    <cellStyle name="Normal 7 2 3 6 3 4" xfId="19183"/>
    <cellStyle name="Normal 7 2 3 6 4" xfId="19184"/>
    <cellStyle name="Normal 7 2 3 6 4 2" xfId="19185"/>
    <cellStyle name="Normal 7 2 3 6 4 2 2" xfId="19186"/>
    <cellStyle name="Normal 7 2 3 6 4 3" xfId="19187"/>
    <cellStyle name="Normal 7 2 3 6 5" xfId="19188"/>
    <cellStyle name="Normal 7 2 3 6 5 2" xfId="19189"/>
    <cellStyle name="Normal 7 2 3 6 5 2 2" xfId="19190"/>
    <cellStyle name="Normal 7 2 3 6 5 3" xfId="19191"/>
    <cellStyle name="Normal 7 2 3 6 6" xfId="19192"/>
    <cellStyle name="Normal 7 2 3 6 6 2" xfId="19193"/>
    <cellStyle name="Normal 7 2 3 6 7" xfId="19194"/>
    <cellStyle name="Normal 7 2 3 6 7 2" xfId="36748"/>
    <cellStyle name="Normal 7 2 3 6 8" xfId="19195"/>
    <cellStyle name="Normal 7 2 3 7" xfId="19196"/>
    <cellStyle name="Normal 7 2 3 7 2" xfId="19197"/>
    <cellStyle name="Normal 7 2 3 7 2 2" xfId="19198"/>
    <cellStyle name="Normal 7 2 3 7 2 2 2" xfId="19199"/>
    <cellStyle name="Normal 7 2 3 7 2 2 2 2" xfId="19200"/>
    <cellStyle name="Normal 7 2 3 7 2 2 2 3" xfId="19201"/>
    <cellStyle name="Normal 7 2 3 7 2 2 3" xfId="19202"/>
    <cellStyle name="Normal 7 2 3 7 2 2 3 2" xfId="19203"/>
    <cellStyle name="Normal 7 2 3 7 2 2 4" xfId="19204"/>
    <cellStyle name="Normal 7 2 3 7 2 3" xfId="19205"/>
    <cellStyle name="Normal 7 2 3 7 2 3 2" xfId="19206"/>
    <cellStyle name="Normal 7 2 3 7 2 3 2 2" xfId="19207"/>
    <cellStyle name="Normal 7 2 3 7 2 3 3" xfId="19208"/>
    <cellStyle name="Normal 7 2 3 7 2 4" xfId="19209"/>
    <cellStyle name="Normal 7 2 3 7 2 4 2" xfId="19210"/>
    <cellStyle name="Normal 7 2 3 7 2 4 3" xfId="19211"/>
    <cellStyle name="Normal 7 2 3 7 2 5" xfId="19212"/>
    <cellStyle name="Normal 7 2 3 7 2 5 2" xfId="19213"/>
    <cellStyle name="Normal 7 2 3 7 2 6" xfId="19214"/>
    <cellStyle name="Normal 7 2 3 7 2 6 2" xfId="36749"/>
    <cellStyle name="Normal 7 2 3 7 2 7" xfId="19215"/>
    <cellStyle name="Normal 7 2 3 7 3" xfId="19216"/>
    <cellStyle name="Normal 7 2 3 7 3 2" xfId="19217"/>
    <cellStyle name="Normal 7 2 3 7 3 2 2" xfId="19218"/>
    <cellStyle name="Normal 7 2 3 7 3 2 2 2" xfId="19219"/>
    <cellStyle name="Normal 7 2 3 7 3 2 3" xfId="19220"/>
    <cellStyle name="Normal 7 2 3 7 3 3" xfId="19221"/>
    <cellStyle name="Normal 7 2 3 7 3 3 2" xfId="19222"/>
    <cellStyle name="Normal 7 2 3 7 3 4" xfId="19223"/>
    <cellStyle name="Normal 7 2 3 7 4" xfId="19224"/>
    <cellStyle name="Normal 7 2 3 7 4 2" xfId="19225"/>
    <cellStyle name="Normal 7 2 3 7 4 2 2" xfId="19226"/>
    <cellStyle name="Normal 7 2 3 7 4 3" xfId="19227"/>
    <cellStyle name="Normal 7 2 3 7 5" xfId="19228"/>
    <cellStyle name="Normal 7 2 3 7 5 2" xfId="19229"/>
    <cellStyle name="Normal 7 2 3 7 5 2 2" xfId="19230"/>
    <cellStyle name="Normal 7 2 3 7 5 3" xfId="19231"/>
    <cellStyle name="Normal 7 2 3 7 6" xfId="19232"/>
    <cellStyle name="Normal 7 2 3 7 6 2" xfId="19233"/>
    <cellStyle name="Normal 7 2 3 7 7" xfId="19234"/>
    <cellStyle name="Normal 7 2 3 7 7 2" xfId="36750"/>
    <cellStyle name="Normal 7 2 3 7 8" xfId="19235"/>
    <cellStyle name="Normal 7 2 3 8" xfId="19236"/>
    <cellStyle name="Normal 7 2 3 8 2" xfId="19237"/>
    <cellStyle name="Normal 7 2 3 8 2 2" xfId="19238"/>
    <cellStyle name="Normal 7 2 3 8 2 2 2" xfId="19239"/>
    <cellStyle name="Normal 7 2 3 8 2 2 3" xfId="19240"/>
    <cellStyle name="Normal 7 2 3 8 2 3" xfId="19241"/>
    <cellStyle name="Normal 7 2 3 8 2 3 2" xfId="19242"/>
    <cellStyle name="Normal 7 2 3 8 2 4" xfId="19243"/>
    <cellStyle name="Normal 7 2 3 8 3" xfId="19244"/>
    <cellStyle name="Normal 7 2 3 8 3 2" xfId="19245"/>
    <cellStyle name="Normal 7 2 3 8 3 2 2" xfId="19246"/>
    <cellStyle name="Normal 7 2 3 8 3 3" xfId="19247"/>
    <cellStyle name="Normal 7 2 3 8 4" xfId="19248"/>
    <cellStyle name="Normal 7 2 3 8 4 2" xfId="19249"/>
    <cellStyle name="Normal 7 2 3 8 4 3" xfId="19250"/>
    <cellStyle name="Normal 7 2 3 8 5" xfId="19251"/>
    <cellStyle name="Normal 7 2 3 8 5 2" xfId="19252"/>
    <cellStyle name="Normal 7 2 3 8 6" xfId="19253"/>
    <cellStyle name="Normal 7 2 3 8 6 2" xfId="36751"/>
    <cellStyle name="Normal 7 2 3 8 7" xfId="19254"/>
    <cellStyle name="Normal 7 2 3 9" xfId="19255"/>
    <cellStyle name="Normal 7 2 3 9 2" xfId="19256"/>
    <cellStyle name="Normal 7 2 3 9 2 2" xfId="19257"/>
    <cellStyle name="Normal 7 2 3 9 2 2 2" xfId="19258"/>
    <cellStyle name="Normal 7 2 3 9 2 3" xfId="19259"/>
    <cellStyle name="Normal 7 2 3 9 3" xfId="19260"/>
    <cellStyle name="Normal 7 2 3 9 3 2" xfId="19261"/>
    <cellStyle name="Normal 7 2 3 9 4" xfId="19262"/>
    <cellStyle name="Normal 7 2 4" xfId="19263"/>
    <cellStyle name="Normal 7 2 4 10" xfId="19264"/>
    <cellStyle name="Normal 7 2 4 10 2" xfId="19265"/>
    <cellStyle name="Normal 7 2 4 10 2 2" xfId="19266"/>
    <cellStyle name="Normal 7 2 4 10 3" xfId="19267"/>
    <cellStyle name="Normal 7 2 4 11" xfId="19268"/>
    <cellStyle name="Normal 7 2 4 11 2" xfId="19269"/>
    <cellStyle name="Normal 7 2 4 12" xfId="19270"/>
    <cellStyle name="Normal 7 2 4 12 2" xfId="36752"/>
    <cellStyle name="Normal 7 2 4 13" xfId="19271"/>
    <cellStyle name="Normal 7 2 4 2" xfId="19272"/>
    <cellStyle name="Normal 7 2 4 2 10" xfId="19273"/>
    <cellStyle name="Normal 7 2 4 2 2" xfId="19274"/>
    <cellStyle name="Normal 7 2 4 2 2 2" xfId="19275"/>
    <cellStyle name="Normal 7 2 4 2 2 2 2" xfId="19276"/>
    <cellStyle name="Normal 7 2 4 2 2 2 2 2" xfId="19277"/>
    <cellStyle name="Normal 7 2 4 2 2 2 2 2 2" xfId="19278"/>
    <cellStyle name="Normal 7 2 4 2 2 2 2 2 2 2" xfId="19279"/>
    <cellStyle name="Normal 7 2 4 2 2 2 2 2 2 3" xfId="19280"/>
    <cellStyle name="Normal 7 2 4 2 2 2 2 2 3" xfId="19281"/>
    <cellStyle name="Normal 7 2 4 2 2 2 2 2 3 2" xfId="19282"/>
    <cellStyle name="Normal 7 2 4 2 2 2 2 2 4" xfId="19283"/>
    <cellStyle name="Normal 7 2 4 2 2 2 2 3" xfId="19284"/>
    <cellStyle name="Normal 7 2 4 2 2 2 2 3 2" xfId="19285"/>
    <cellStyle name="Normal 7 2 4 2 2 2 2 3 2 2" xfId="19286"/>
    <cellStyle name="Normal 7 2 4 2 2 2 2 3 3" xfId="19287"/>
    <cellStyle name="Normal 7 2 4 2 2 2 2 4" xfId="19288"/>
    <cellStyle name="Normal 7 2 4 2 2 2 2 4 2" xfId="19289"/>
    <cellStyle name="Normal 7 2 4 2 2 2 2 4 3" xfId="19290"/>
    <cellStyle name="Normal 7 2 4 2 2 2 2 5" xfId="19291"/>
    <cellStyle name="Normal 7 2 4 2 2 2 2 5 2" xfId="19292"/>
    <cellStyle name="Normal 7 2 4 2 2 2 2 6" xfId="19293"/>
    <cellStyle name="Normal 7 2 4 2 2 2 2 6 2" xfId="36753"/>
    <cellStyle name="Normal 7 2 4 2 2 2 2 7" xfId="19294"/>
    <cellStyle name="Normal 7 2 4 2 2 2 3" xfId="19295"/>
    <cellStyle name="Normal 7 2 4 2 2 2 3 2" xfId="19296"/>
    <cellStyle name="Normal 7 2 4 2 2 2 3 2 2" xfId="19297"/>
    <cellStyle name="Normal 7 2 4 2 2 2 3 2 2 2" xfId="19298"/>
    <cellStyle name="Normal 7 2 4 2 2 2 3 2 3" xfId="19299"/>
    <cellStyle name="Normal 7 2 4 2 2 2 3 3" xfId="19300"/>
    <cellStyle name="Normal 7 2 4 2 2 2 3 3 2" xfId="19301"/>
    <cellStyle name="Normal 7 2 4 2 2 2 3 4" xfId="19302"/>
    <cellStyle name="Normal 7 2 4 2 2 2 4" xfId="19303"/>
    <cellStyle name="Normal 7 2 4 2 2 2 4 2" xfId="19304"/>
    <cellStyle name="Normal 7 2 4 2 2 2 4 2 2" xfId="19305"/>
    <cellStyle name="Normal 7 2 4 2 2 2 4 3" xfId="19306"/>
    <cellStyle name="Normal 7 2 4 2 2 2 5" xfId="19307"/>
    <cellStyle name="Normal 7 2 4 2 2 2 5 2" xfId="19308"/>
    <cellStyle name="Normal 7 2 4 2 2 2 5 2 2" xfId="19309"/>
    <cellStyle name="Normal 7 2 4 2 2 2 5 3" xfId="19310"/>
    <cellStyle name="Normal 7 2 4 2 2 2 6" xfId="19311"/>
    <cellStyle name="Normal 7 2 4 2 2 2 6 2" xfId="19312"/>
    <cellStyle name="Normal 7 2 4 2 2 2 7" xfId="19313"/>
    <cellStyle name="Normal 7 2 4 2 2 2 7 2" xfId="36754"/>
    <cellStyle name="Normal 7 2 4 2 2 2 8" xfId="19314"/>
    <cellStyle name="Normal 7 2 4 2 2 3" xfId="19315"/>
    <cellStyle name="Normal 7 2 4 2 2 3 2" xfId="19316"/>
    <cellStyle name="Normal 7 2 4 2 2 3 2 2" xfId="19317"/>
    <cellStyle name="Normal 7 2 4 2 2 3 2 2 2" xfId="19318"/>
    <cellStyle name="Normal 7 2 4 2 2 3 2 2 3" xfId="19319"/>
    <cellStyle name="Normal 7 2 4 2 2 3 2 3" xfId="19320"/>
    <cellStyle name="Normal 7 2 4 2 2 3 2 3 2" xfId="19321"/>
    <cellStyle name="Normal 7 2 4 2 2 3 2 4" xfId="19322"/>
    <cellStyle name="Normal 7 2 4 2 2 3 3" xfId="19323"/>
    <cellStyle name="Normal 7 2 4 2 2 3 3 2" xfId="19324"/>
    <cellStyle name="Normal 7 2 4 2 2 3 3 2 2" xfId="19325"/>
    <cellStyle name="Normal 7 2 4 2 2 3 3 3" xfId="19326"/>
    <cellStyle name="Normal 7 2 4 2 2 3 4" xfId="19327"/>
    <cellStyle name="Normal 7 2 4 2 2 3 4 2" xfId="19328"/>
    <cellStyle name="Normal 7 2 4 2 2 3 4 3" xfId="19329"/>
    <cellStyle name="Normal 7 2 4 2 2 3 5" xfId="19330"/>
    <cellStyle name="Normal 7 2 4 2 2 3 5 2" xfId="19331"/>
    <cellStyle name="Normal 7 2 4 2 2 3 6" xfId="19332"/>
    <cellStyle name="Normal 7 2 4 2 2 3 6 2" xfId="36755"/>
    <cellStyle name="Normal 7 2 4 2 2 3 7" xfId="19333"/>
    <cellStyle name="Normal 7 2 4 2 2 4" xfId="19334"/>
    <cellStyle name="Normal 7 2 4 2 2 4 2" xfId="19335"/>
    <cellStyle name="Normal 7 2 4 2 2 4 2 2" xfId="19336"/>
    <cellStyle name="Normal 7 2 4 2 2 4 2 2 2" xfId="19337"/>
    <cellStyle name="Normal 7 2 4 2 2 4 2 3" xfId="19338"/>
    <cellStyle name="Normal 7 2 4 2 2 4 3" xfId="19339"/>
    <cellStyle name="Normal 7 2 4 2 2 4 3 2" xfId="19340"/>
    <cellStyle name="Normal 7 2 4 2 2 4 4" xfId="19341"/>
    <cellStyle name="Normal 7 2 4 2 2 5" xfId="19342"/>
    <cellStyle name="Normal 7 2 4 2 2 5 2" xfId="19343"/>
    <cellStyle name="Normal 7 2 4 2 2 5 2 2" xfId="19344"/>
    <cellStyle name="Normal 7 2 4 2 2 5 3" xfId="19345"/>
    <cellStyle name="Normal 7 2 4 2 2 6" xfId="19346"/>
    <cellStyle name="Normal 7 2 4 2 2 6 2" xfId="19347"/>
    <cellStyle name="Normal 7 2 4 2 2 6 2 2" xfId="19348"/>
    <cellStyle name="Normal 7 2 4 2 2 6 3" xfId="19349"/>
    <cellStyle name="Normal 7 2 4 2 2 7" xfId="19350"/>
    <cellStyle name="Normal 7 2 4 2 2 7 2" xfId="19351"/>
    <cellStyle name="Normal 7 2 4 2 2 8" xfId="19352"/>
    <cellStyle name="Normal 7 2 4 2 2 8 2" xfId="36756"/>
    <cellStyle name="Normal 7 2 4 2 2 9" xfId="19353"/>
    <cellStyle name="Normal 7 2 4 2 3" xfId="19354"/>
    <cellStyle name="Normal 7 2 4 2 3 2" xfId="19355"/>
    <cellStyle name="Normal 7 2 4 2 3 2 2" xfId="19356"/>
    <cellStyle name="Normal 7 2 4 2 3 2 2 2" xfId="19357"/>
    <cellStyle name="Normal 7 2 4 2 3 2 2 2 2" xfId="19358"/>
    <cellStyle name="Normal 7 2 4 2 3 2 2 2 3" xfId="19359"/>
    <cellStyle name="Normal 7 2 4 2 3 2 2 3" xfId="19360"/>
    <cellStyle name="Normal 7 2 4 2 3 2 2 3 2" xfId="19361"/>
    <cellStyle name="Normal 7 2 4 2 3 2 2 4" xfId="19362"/>
    <cellStyle name="Normal 7 2 4 2 3 2 3" xfId="19363"/>
    <cellStyle name="Normal 7 2 4 2 3 2 3 2" xfId="19364"/>
    <cellStyle name="Normal 7 2 4 2 3 2 3 2 2" xfId="19365"/>
    <cellStyle name="Normal 7 2 4 2 3 2 3 3" xfId="19366"/>
    <cellStyle name="Normal 7 2 4 2 3 2 4" xfId="19367"/>
    <cellStyle name="Normal 7 2 4 2 3 2 4 2" xfId="19368"/>
    <cellStyle name="Normal 7 2 4 2 3 2 4 3" xfId="19369"/>
    <cellStyle name="Normal 7 2 4 2 3 2 5" xfId="19370"/>
    <cellStyle name="Normal 7 2 4 2 3 2 5 2" xfId="19371"/>
    <cellStyle name="Normal 7 2 4 2 3 2 6" xfId="19372"/>
    <cellStyle name="Normal 7 2 4 2 3 2 6 2" xfId="36757"/>
    <cellStyle name="Normal 7 2 4 2 3 2 7" xfId="19373"/>
    <cellStyle name="Normal 7 2 4 2 3 3" xfId="19374"/>
    <cellStyle name="Normal 7 2 4 2 3 3 2" xfId="19375"/>
    <cellStyle name="Normal 7 2 4 2 3 3 2 2" xfId="19376"/>
    <cellStyle name="Normal 7 2 4 2 3 3 2 2 2" xfId="19377"/>
    <cellStyle name="Normal 7 2 4 2 3 3 2 3" xfId="19378"/>
    <cellStyle name="Normal 7 2 4 2 3 3 3" xfId="19379"/>
    <cellStyle name="Normal 7 2 4 2 3 3 3 2" xfId="19380"/>
    <cellStyle name="Normal 7 2 4 2 3 3 4" xfId="19381"/>
    <cellStyle name="Normal 7 2 4 2 3 4" xfId="19382"/>
    <cellStyle name="Normal 7 2 4 2 3 4 2" xfId="19383"/>
    <cellStyle name="Normal 7 2 4 2 3 4 2 2" xfId="19384"/>
    <cellStyle name="Normal 7 2 4 2 3 4 3" xfId="19385"/>
    <cellStyle name="Normal 7 2 4 2 3 5" xfId="19386"/>
    <cellStyle name="Normal 7 2 4 2 3 5 2" xfId="19387"/>
    <cellStyle name="Normal 7 2 4 2 3 5 2 2" xfId="19388"/>
    <cellStyle name="Normal 7 2 4 2 3 5 3" xfId="19389"/>
    <cellStyle name="Normal 7 2 4 2 3 6" xfId="19390"/>
    <cellStyle name="Normal 7 2 4 2 3 6 2" xfId="19391"/>
    <cellStyle name="Normal 7 2 4 2 3 7" xfId="19392"/>
    <cellStyle name="Normal 7 2 4 2 3 7 2" xfId="36758"/>
    <cellStyle name="Normal 7 2 4 2 3 8" xfId="19393"/>
    <cellStyle name="Normal 7 2 4 2 4" xfId="19394"/>
    <cellStyle name="Normal 7 2 4 2 4 2" xfId="19395"/>
    <cellStyle name="Normal 7 2 4 2 4 2 2" xfId="19396"/>
    <cellStyle name="Normal 7 2 4 2 4 2 2 2" xfId="19397"/>
    <cellStyle name="Normal 7 2 4 2 4 2 2 3" xfId="19398"/>
    <cellStyle name="Normal 7 2 4 2 4 2 3" xfId="19399"/>
    <cellStyle name="Normal 7 2 4 2 4 2 3 2" xfId="19400"/>
    <cellStyle name="Normal 7 2 4 2 4 2 4" xfId="19401"/>
    <cellStyle name="Normal 7 2 4 2 4 3" xfId="19402"/>
    <cellStyle name="Normal 7 2 4 2 4 3 2" xfId="19403"/>
    <cellStyle name="Normal 7 2 4 2 4 3 2 2" xfId="19404"/>
    <cellStyle name="Normal 7 2 4 2 4 3 3" xfId="19405"/>
    <cellStyle name="Normal 7 2 4 2 4 4" xfId="19406"/>
    <cellStyle name="Normal 7 2 4 2 4 4 2" xfId="19407"/>
    <cellStyle name="Normal 7 2 4 2 4 4 3" xfId="19408"/>
    <cellStyle name="Normal 7 2 4 2 4 5" xfId="19409"/>
    <cellStyle name="Normal 7 2 4 2 4 5 2" xfId="19410"/>
    <cellStyle name="Normal 7 2 4 2 4 6" xfId="19411"/>
    <cellStyle name="Normal 7 2 4 2 4 6 2" xfId="36759"/>
    <cellStyle name="Normal 7 2 4 2 4 7" xfId="19412"/>
    <cellStyle name="Normal 7 2 4 2 5" xfId="19413"/>
    <cellStyle name="Normal 7 2 4 2 5 2" xfId="19414"/>
    <cellStyle name="Normal 7 2 4 2 5 2 2" xfId="19415"/>
    <cellStyle name="Normal 7 2 4 2 5 2 2 2" xfId="19416"/>
    <cellStyle name="Normal 7 2 4 2 5 2 3" xfId="19417"/>
    <cellStyle name="Normal 7 2 4 2 5 3" xfId="19418"/>
    <cellStyle name="Normal 7 2 4 2 5 3 2" xfId="19419"/>
    <cellStyle name="Normal 7 2 4 2 5 4" xfId="19420"/>
    <cellStyle name="Normal 7 2 4 2 6" xfId="19421"/>
    <cellStyle name="Normal 7 2 4 2 6 2" xfId="19422"/>
    <cellStyle name="Normal 7 2 4 2 6 2 2" xfId="19423"/>
    <cellStyle name="Normal 7 2 4 2 6 3" xfId="19424"/>
    <cellStyle name="Normal 7 2 4 2 7" xfId="19425"/>
    <cellStyle name="Normal 7 2 4 2 7 2" xfId="19426"/>
    <cellStyle name="Normal 7 2 4 2 7 2 2" xfId="19427"/>
    <cellStyle name="Normal 7 2 4 2 7 3" xfId="19428"/>
    <cellStyle name="Normal 7 2 4 2 8" xfId="19429"/>
    <cellStyle name="Normal 7 2 4 2 8 2" xfId="19430"/>
    <cellStyle name="Normal 7 2 4 2 9" xfId="19431"/>
    <cellStyle name="Normal 7 2 4 2 9 2" xfId="36760"/>
    <cellStyle name="Normal 7 2 4 3" xfId="19432"/>
    <cellStyle name="Normal 7 2 4 3 2" xfId="19433"/>
    <cellStyle name="Normal 7 2 4 3 2 2" xfId="19434"/>
    <cellStyle name="Normal 7 2 4 3 2 2 2" xfId="19435"/>
    <cellStyle name="Normal 7 2 4 3 2 2 2 2" xfId="19436"/>
    <cellStyle name="Normal 7 2 4 3 2 2 2 2 2" xfId="19437"/>
    <cellStyle name="Normal 7 2 4 3 2 2 2 2 3" xfId="19438"/>
    <cellStyle name="Normal 7 2 4 3 2 2 2 3" xfId="19439"/>
    <cellStyle name="Normal 7 2 4 3 2 2 2 3 2" xfId="19440"/>
    <cellStyle name="Normal 7 2 4 3 2 2 2 4" xfId="19441"/>
    <cellStyle name="Normal 7 2 4 3 2 2 3" xfId="19442"/>
    <cellStyle name="Normal 7 2 4 3 2 2 3 2" xfId="19443"/>
    <cellStyle name="Normal 7 2 4 3 2 2 3 2 2" xfId="19444"/>
    <cellStyle name="Normal 7 2 4 3 2 2 3 3" xfId="19445"/>
    <cellStyle name="Normal 7 2 4 3 2 2 4" xfId="19446"/>
    <cellStyle name="Normal 7 2 4 3 2 2 4 2" xfId="19447"/>
    <cellStyle name="Normal 7 2 4 3 2 2 4 3" xfId="19448"/>
    <cellStyle name="Normal 7 2 4 3 2 2 5" xfId="19449"/>
    <cellStyle name="Normal 7 2 4 3 2 2 5 2" xfId="19450"/>
    <cellStyle name="Normal 7 2 4 3 2 2 6" xfId="19451"/>
    <cellStyle name="Normal 7 2 4 3 2 2 6 2" xfId="36761"/>
    <cellStyle name="Normal 7 2 4 3 2 2 7" xfId="19452"/>
    <cellStyle name="Normal 7 2 4 3 2 3" xfId="19453"/>
    <cellStyle name="Normal 7 2 4 3 2 3 2" xfId="19454"/>
    <cellStyle name="Normal 7 2 4 3 2 3 2 2" xfId="19455"/>
    <cellStyle name="Normal 7 2 4 3 2 3 2 2 2" xfId="19456"/>
    <cellStyle name="Normal 7 2 4 3 2 3 2 3" xfId="19457"/>
    <cellStyle name="Normal 7 2 4 3 2 3 3" xfId="19458"/>
    <cellStyle name="Normal 7 2 4 3 2 3 3 2" xfId="19459"/>
    <cellStyle name="Normal 7 2 4 3 2 3 4" xfId="19460"/>
    <cellStyle name="Normal 7 2 4 3 2 4" xfId="19461"/>
    <cellStyle name="Normal 7 2 4 3 2 4 2" xfId="19462"/>
    <cellStyle name="Normal 7 2 4 3 2 4 2 2" xfId="19463"/>
    <cellStyle name="Normal 7 2 4 3 2 4 3" xfId="19464"/>
    <cellStyle name="Normal 7 2 4 3 2 5" xfId="19465"/>
    <cellStyle name="Normal 7 2 4 3 2 5 2" xfId="19466"/>
    <cellStyle name="Normal 7 2 4 3 2 5 2 2" xfId="19467"/>
    <cellStyle name="Normal 7 2 4 3 2 5 3" xfId="19468"/>
    <cellStyle name="Normal 7 2 4 3 2 6" xfId="19469"/>
    <cellStyle name="Normal 7 2 4 3 2 6 2" xfId="19470"/>
    <cellStyle name="Normal 7 2 4 3 2 7" xfId="19471"/>
    <cellStyle name="Normal 7 2 4 3 2 7 2" xfId="36762"/>
    <cellStyle name="Normal 7 2 4 3 2 8" xfId="19472"/>
    <cellStyle name="Normal 7 2 4 3 3" xfId="19473"/>
    <cellStyle name="Normal 7 2 4 3 3 2" xfId="19474"/>
    <cellStyle name="Normal 7 2 4 3 3 2 2" xfId="19475"/>
    <cellStyle name="Normal 7 2 4 3 3 2 2 2" xfId="19476"/>
    <cellStyle name="Normal 7 2 4 3 3 2 2 3" xfId="19477"/>
    <cellStyle name="Normal 7 2 4 3 3 2 3" xfId="19478"/>
    <cellStyle name="Normal 7 2 4 3 3 2 3 2" xfId="19479"/>
    <cellStyle name="Normal 7 2 4 3 3 2 4" xfId="19480"/>
    <cellStyle name="Normal 7 2 4 3 3 3" xfId="19481"/>
    <cellStyle name="Normal 7 2 4 3 3 3 2" xfId="19482"/>
    <cellStyle name="Normal 7 2 4 3 3 3 2 2" xfId="19483"/>
    <cellStyle name="Normal 7 2 4 3 3 3 3" xfId="19484"/>
    <cellStyle name="Normal 7 2 4 3 3 4" xfId="19485"/>
    <cellStyle name="Normal 7 2 4 3 3 4 2" xfId="19486"/>
    <cellStyle name="Normal 7 2 4 3 3 4 3" xfId="19487"/>
    <cellStyle name="Normal 7 2 4 3 3 5" xfId="19488"/>
    <cellStyle name="Normal 7 2 4 3 3 5 2" xfId="19489"/>
    <cellStyle name="Normal 7 2 4 3 3 6" xfId="19490"/>
    <cellStyle name="Normal 7 2 4 3 3 6 2" xfId="36763"/>
    <cellStyle name="Normal 7 2 4 3 3 7" xfId="19491"/>
    <cellStyle name="Normal 7 2 4 3 4" xfId="19492"/>
    <cellStyle name="Normal 7 2 4 3 4 2" xfId="19493"/>
    <cellStyle name="Normal 7 2 4 3 4 2 2" xfId="19494"/>
    <cellStyle name="Normal 7 2 4 3 4 2 2 2" xfId="19495"/>
    <cellStyle name="Normal 7 2 4 3 4 2 3" xfId="19496"/>
    <cellStyle name="Normal 7 2 4 3 4 3" xfId="19497"/>
    <cellStyle name="Normal 7 2 4 3 4 3 2" xfId="19498"/>
    <cellStyle name="Normal 7 2 4 3 4 4" xfId="19499"/>
    <cellStyle name="Normal 7 2 4 3 5" xfId="19500"/>
    <cellStyle name="Normal 7 2 4 3 5 2" xfId="19501"/>
    <cellStyle name="Normal 7 2 4 3 5 2 2" xfId="19502"/>
    <cellStyle name="Normal 7 2 4 3 5 3" xfId="19503"/>
    <cellStyle name="Normal 7 2 4 3 6" xfId="19504"/>
    <cellStyle name="Normal 7 2 4 3 6 2" xfId="19505"/>
    <cellStyle name="Normal 7 2 4 3 6 2 2" xfId="19506"/>
    <cellStyle name="Normal 7 2 4 3 6 3" xfId="19507"/>
    <cellStyle name="Normal 7 2 4 3 7" xfId="19508"/>
    <cellStyle name="Normal 7 2 4 3 7 2" xfId="19509"/>
    <cellStyle name="Normal 7 2 4 3 8" xfId="19510"/>
    <cellStyle name="Normal 7 2 4 3 8 2" xfId="36764"/>
    <cellStyle name="Normal 7 2 4 3 9" xfId="19511"/>
    <cellStyle name="Normal 7 2 4 4" xfId="19512"/>
    <cellStyle name="Normal 7 2 4 4 2" xfId="19513"/>
    <cellStyle name="Normal 7 2 4 4 2 2" xfId="19514"/>
    <cellStyle name="Normal 7 2 4 4 2 2 2" xfId="19515"/>
    <cellStyle name="Normal 7 2 4 4 2 2 2 2" xfId="19516"/>
    <cellStyle name="Normal 7 2 4 4 2 2 2 3" xfId="19517"/>
    <cellStyle name="Normal 7 2 4 4 2 2 3" xfId="19518"/>
    <cellStyle name="Normal 7 2 4 4 2 2 3 2" xfId="19519"/>
    <cellStyle name="Normal 7 2 4 4 2 2 4" xfId="19520"/>
    <cellStyle name="Normal 7 2 4 4 2 3" xfId="19521"/>
    <cellStyle name="Normal 7 2 4 4 2 3 2" xfId="19522"/>
    <cellStyle name="Normal 7 2 4 4 2 3 2 2" xfId="19523"/>
    <cellStyle name="Normal 7 2 4 4 2 3 3" xfId="19524"/>
    <cellStyle name="Normal 7 2 4 4 2 4" xfId="19525"/>
    <cellStyle name="Normal 7 2 4 4 2 4 2" xfId="19526"/>
    <cellStyle name="Normal 7 2 4 4 2 4 3" xfId="19527"/>
    <cellStyle name="Normal 7 2 4 4 2 5" xfId="19528"/>
    <cellStyle name="Normal 7 2 4 4 2 5 2" xfId="19529"/>
    <cellStyle name="Normal 7 2 4 4 2 6" xfId="19530"/>
    <cellStyle name="Normal 7 2 4 4 2 6 2" xfId="36765"/>
    <cellStyle name="Normal 7 2 4 4 2 7" xfId="19531"/>
    <cellStyle name="Normal 7 2 4 4 3" xfId="19532"/>
    <cellStyle name="Normal 7 2 4 4 3 2" xfId="19533"/>
    <cellStyle name="Normal 7 2 4 4 3 2 2" xfId="19534"/>
    <cellStyle name="Normal 7 2 4 4 3 2 2 2" xfId="19535"/>
    <cellStyle name="Normal 7 2 4 4 3 2 3" xfId="19536"/>
    <cellStyle name="Normal 7 2 4 4 3 3" xfId="19537"/>
    <cellStyle name="Normal 7 2 4 4 3 3 2" xfId="19538"/>
    <cellStyle name="Normal 7 2 4 4 3 4" xfId="19539"/>
    <cellStyle name="Normal 7 2 4 4 4" xfId="19540"/>
    <cellStyle name="Normal 7 2 4 4 4 2" xfId="19541"/>
    <cellStyle name="Normal 7 2 4 4 4 2 2" xfId="19542"/>
    <cellStyle name="Normal 7 2 4 4 4 3" xfId="19543"/>
    <cellStyle name="Normal 7 2 4 4 5" xfId="19544"/>
    <cellStyle name="Normal 7 2 4 4 5 2" xfId="19545"/>
    <cellStyle name="Normal 7 2 4 4 5 2 2" xfId="19546"/>
    <cellStyle name="Normal 7 2 4 4 5 3" xfId="19547"/>
    <cellStyle name="Normal 7 2 4 4 6" xfId="19548"/>
    <cellStyle name="Normal 7 2 4 4 6 2" xfId="19549"/>
    <cellStyle name="Normal 7 2 4 4 7" xfId="19550"/>
    <cellStyle name="Normal 7 2 4 4 7 2" xfId="36766"/>
    <cellStyle name="Normal 7 2 4 4 8" xfId="19551"/>
    <cellStyle name="Normal 7 2 4 5" xfId="19552"/>
    <cellStyle name="Normal 7 2 4 5 2" xfId="19553"/>
    <cellStyle name="Normal 7 2 4 5 2 2" xfId="19554"/>
    <cellStyle name="Normal 7 2 4 5 2 2 2" xfId="19555"/>
    <cellStyle name="Normal 7 2 4 5 2 2 2 2" xfId="19556"/>
    <cellStyle name="Normal 7 2 4 5 2 2 2 3" xfId="19557"/>
    <cellStyle name="Normal 7 2 4 5 2 2 3" xfId="19558"/>
    <cellStyle name="Normal 7 2 4 5 2 2 3 2" xfId="19559"/>
    <cellStyle name="Normal 7 2 4 5 2 2 4" xfId="19560"/>
    <cellStyle name="Normal 7 2 4 5 2 3" xfId="19561"/>
    <cellStyle name="Normal 7 2 4 5 2 3 2" xfId="19562"/>
    <cellStyle name="Normal 7 2 4 5 2 3 2 2" xfId="19563"/>
    <cellStyle name="Normal 7 2 4 5 2 3 3" xfId="19564"/>
    <cellStyle name="Normal 7 2 4 5 2 4" xfId="19565"/>
    <cellStyle name="Normal 7 2 4 5 2 4 2" xfId="19566"/>
    <cellStyle name="Normal 7 2 4 5 2 4 3" xfId="19567"/>
    <cellStyle name="Normal 7 2 4 5 2 5" xfId="19568"/>
    <cellStyle name="Normal 7 2 4 5 2 5 2" xfId="19569"/>
    <cellStyle name="Normal 7 2 4 5 2 6" xfId="19570"/>
    <cellStyle name="Normal 7 2 4 5 2 6 2" xfId="36767"/>
    <cellStyle name="Normal 7 2 4 5 2 7" xfId="19571"/>
    <cellStyle name="Normal 7 2 4 5 3" xfId="19572"/>
    <cellStyle name="Normal 7 2 4 5 3 2" xfId="19573"/>
    <cellStyle name="Normal 7 2 4 5 3 2 2" xfId="19574"/>
    <cellStyle name="Normal 7 2 4 5 3 2 2 2" xfId="19575"/>
    <cellStyle name="Normal 7 2 4 5 3 2 3" xfId="19576"/>
    <cellStyle name="Normal 7 2 4 5 3 3" xfId="19577"/>
    <cellStyle name="Normal 7 2 4 5 3 3 2" xfId="19578"/>
    <cellStyle name="Normal 7 2 4 5 3 4" xfId="19579"/>
    <cellStyle name="Normal 7 2 4 5 4" xfId="19580"/>
    <cellStyle name="Normal 7 2 4 5 4 2" xfId="19581"/>
    <cellStyle name="Normal 7 2 4 5 4 2 2" xfId="19582"/>
    <cellStyle name="Normal 7 2 4 5 4 3" xfId="19583"/>
    <cellStyle name="Normal 7 2 4 5 5" xfId="19584"/>
    <cellStyle name="Normal 7 2 4 5 5 2" xfId="19585"/>
    <cellStyle name="Normal 7 2 4 5 5 2 2" xfId="19586"/>
    <cellStyle name="Normal 7 2 4 5 5 3" xfId="19587"/>
    <cellStyle name="Normal 7 2 4 5 6" xfId="19588"/>
    <cellStyle name="Normal 7 2 4 5 6 2" xfId="19589"/>
    <cellStyle name="Normal 7 2 4 5 7" xfId="19590"/>
    <cellStyle name="Normal 7 2 4 5 7 2" xfId="36768"/>
    <cellStyle name="Normal 7 2 4 5 8" xfId="19591"/>
    <cellStyle name="Normal 7 2 4 6" xfId="19592"/>
    <cellStyle name="Normal 7 2 4 7" xfId="19593"/>
    <cellStyle name="Normal 7 2 4 7 2" xfId="19594"/>
    <cellStyle name="Normal 7 2 4 7 2 2" xfId="19595"/>
    <cellStyle name="Normal 7 2 4 7 2 2 2" xfId="19596"/>
    <cellStyle name="Normal 7 2 4 7 2 2 3" xfId="19597"/>
    <cellStyle name="Normal 7 2 4 7 2 3" xfId="19598"/>
    <cellStyle name="Normal 7 2 4 7 2 3 2" xfId="19599"/>
    <cellStyle name="Normal 7 2 4 7 2 4" xfId="19600"/>
    <cellStyle name="Normal 7 2 4 7 3" xfId="19601"/>
    <cellStyle name="Normal 7 2 4 7 3 2" xfId="19602"/>
    <cellStyle name="Normal 7 2 4 7 3 2 2" xfId="19603"/>
    <cellStyle name="Normal 7 2 4 7 3 3" xfId="19604"/>
    <cellStyle name="Normal 7 2 4 7 4" xfId="19605"/>
    <cellStyle name="Normal 7 2 4 7 4 2" xfId="19606"/>
    <cellStyle name="Normal 7 2 4 7 4 3" xfId="19607"/>
    <cellStyle name="Normal 7 2 4 7 5" xfId="19608"/>
    <cellStyle name="Normal 7 2 4 7 5 2" xfId="19609"/>
    <cellStyle name="Normal 7 2 4 7 6" xfId="19610"/>
    <cellStyle name="Normal 7 2 4 7 6 2" xfId="36769"/>
    <cellStyle name="Normal 7 2 4 7 7" xfId="19611"/>
    <cellStyle name="Normal 7 2 4 8" xfId="19612"/>
    <cellStyle name="Normal 7 2 4 8 2" xfId="19613"/>
    <cellStyle name="Normal 7 2 4 8 2 2" xfId="19614"/>
    <cellStyle name="Normal 7 2 4 8 2 2 2" xfId="19615"/>
    <cellStyle name="Normal 7 2 4 8 2 3" xfId="19616"/>
    <cellStyle name="Normal 7 2 4 8 3" xfId="19617"/>
    <cellStyle name="Normal 7 2 4 8 3 2" xfId="19618"/>
    <cellStyle name="Normal 7 2 4 8 4" xfId="19619"/>
    <cellStyle name="Normal 7 2 4 9" xfId="19620"/>
    <cellStyle name="Normal 7 2 4 9 2" xfId="19621"/>
    <cellStyle name="Normal 7 2 4 9 2 2" xfId="19622"/>
    <cellStyle name="Normal 7 2 4 9 3" xfId="19623"/>
    <cellStyle name="Normal 7 2 5" xfId="19624"/>
    <cellStyle name="Normal 7 2 5 10" xfId="19625"/>
    <cellStyle name="Normal 7 2 5 10 2" xfId="19626"/>
    <cellStyle name="Normal 7 2 5 11" xfId="19627"/>
    <cellStyle name="Normal 7 2 5 11 2" xfId="36770"/>
    <cellStyle name="Normal 7 2 5 12" xfId="19628"/>
    <cellStyle name="Normal 7 2 5 2" xfId="19629"/>
    <cellStyle name="Normal 7 2 5 2 10" xfId="19630"/>
    <cellStyle name="Normal 7 2 5 2 2" xfId="19631"/>
    <cellStyle name="Normal 7 2 5 2 2 2" xfId="19632"/>
    <cellStyle name="Normal 7 2 5 2 2 2 2" xfId="19633"/>
    <cellStyle name="Normal 7 2 5 2 2 2 2 2" xfId="19634"/>
    <cellStyle name="Normal 7 2 5 2 2 2 2 2 2" xfId="19635"/>
    <cellStyle name="Normal 7 2 5 2 2 2 2 2 2 2" xfId="19636"/>
    <cellStyle name="Normal 7 2 5 2 2 2 2 2 2 3" xfId="19637"/>
    <cellStyle name="Normal 7 2 5 2 2 2 2 2 3" xfId="19638"/>
    <cellStyle name="Normal 7 2 5 2 2 2 2 2 3 2" xfId="19639"/>
    <cellStyle name="Normal 7 2 5 2 2 2 2 2 4" xfId="19640"/>
    <cellStyle name="Normal 7 2 5 2 2 2 2 3" xfId="19641"/>
    <cellStyle name="Normal 7 2 5 2 2 2 2 3 2" xfId="19642"/>
    <cellStyle name="Normal 7 2 5 2 2 2 2 3 2 2" xfId="19643"/>
    <cellStyle name="Normal 7 2 5 2 2 2 2 3 3" xfId="19644"/>
    <cellStyle name="Normal 7 2 5 2 2 2 2 4" xfId="19645"/>
    <cellStyle name="Normal 7 2 5 2 2 2 2 4 2" xfId="19646"/>
    <cellStyle name="Normal 7 2 5 2 2 2 2 4 3" xfId="19647"/>
    <cellStyle name="Normal 7 2 5 2 2 2 2 5" xfId="19648"/>
    <cellStyle name="Normal 7 2 5 2 2 2 2 5 2" xfId="19649"/>
    <cellStyle name="Normal 7 2 5 2 2 2 2 6" xfId="19650"/>
    <cellStyle name="Normal 7 2 5 2 2 2 2 6 2" xfId="36771"/>
    <cellStyle name="Normal 7 2 5 2 2 2 2 7" xfId="19651"/>
    <cellStyle name="Normal 7 2 5 2 2 2 3" xfId="19652"/>
    <cellStyle name="Normal 7 2 5 2 2 2 3 2" xfId="19653"/>
    <cellStyle name="Normal 7 2 5 2 2 2 3 2 2" xfId="19654"/>
    <cellStyle name="Normal 7 2 5 2 2 2 3 2 2 2" xfId="19655"/>
    <cellStyle name="Normal 7 2 5 2 2 2 3 2 3" xfId="19656"/>
    <cellStyle name="Normal 7 2 5 2 2 2 3 3" xfId="19657"/>
    <cellStyle name="Normal 7 2 5 2 2 2 3 3 2" xfId="19658"/>
    <cellStyle name="Normal 7 2 5 2 2 2 3 4" xfId="19659"/>
    <cellStyle name="Normal 7 2 5 2 2 2 4" xfId="19660"/>
    <cellStyle name="Normal 7 2 5 2 2 2 4 2" xfId="19661"/>
    <cellStyle name="Normal 7 2 5 2 2 2 4 2 2" xfId="19662"/>
    <cellStyle name="Normal 7 2 5 2 2 2 4 3" xfId="19663"/>
    <cellStyle name="Normal 7 2 5 2 2 2 5" xfId="19664"/>
    <cellStyle name="Normal 7 2 5 2 2 2 5 2" xfId="19665"/>
    <cellStyle name="Normal 7 2 5 2 2 2 5 2 2" xfId="19666"/>
    <cellStyle name="Normal 7 2 5 2 2 2 5 3" xfId="19667"/>
    <cellStyle name="Normal 7 2 5 2 2 2 6" xfId="19668"/>
    <cellStyle name="Normal 7 2 5 2 2 2 6 2" xfId="19669"/>
    <cellStyle name="Normal 7 2 5 2 2 2 7" xfId="19670"/>
    <cellStyle name="Normal 7 2 5 2 2 2 7 2" xfId="36772"/>
    <cellStyle name="Normal 7 2 5 2 2 2 8" xfId="19671"/>
    <cellStyle name="Normal 7 2 5 2 2 3" xfId="19672"/>
    <cellStyle name="Normal 7 2 5 2 2 3 2" xfId="19673"/>
    <cellStyle name="Normal 7 2 5 2 2 3 2 2" xfId="19674"/>
    <cellStyle name="Normal 7 2 5 2 2 3 2 2 2" xfId="19675"/>
    <cellStyle name="Normal 7 2 5 2 2 3 2 2 3" xfId="19676"/>
    <cellStyle name="Normal 7 2 5 2 2 3 2 3" xfId="19677"/>
    <cellStyle name="Normal 7 2 5 2 2 3 2 3 2" xfId="19678"/>
    <cellStyle name="Normal 7 2 5 2 2 3 2 4" xfId="19679"/>
    <cellStyle name="Normal 7 2 5 2 2 3 3" xfId="19680"/>
    <cellStyle name="Normal 7 2 5 2 2 3 3 2" xfId="19681"/>
    <cellStyle name="Normal 7 2 5 2 2 3 3 2 2" xfId="19682"/>
    <cellStyle name="Normal 7 2 5 2 2 3 3 3" xfId="19683"/>
    <cellStyle name="Normal 7 2 5 2 2 3 4" xfId="19684"/>
    <cellStyle name="Normal 7 2 5 2 2 3 4 2" xfId="19685"/>
    <cellStyle name="Normal 7 2 5 2 2 3 4 3" xfId="19686"/>
    <cellStyle name="Normal 7 2 5 2 2 3 5" xfId="19687"/>
    <cellStyle name="Normal 7 2 5 2 2 3 5 2" xfId="19688"/>
    <cellStyle name="Normal 7 2 5 2 2 3 6" xfId="19689"/>
    <cellStyle name="Normal 7 2 5 2 2 3 6 2" xfId="36773"/>
    <cellStyle name="Normal 7 2 5 2 2 3 7" xfId="19690"/>
    <cellStyle name="Normal 7 2 5 2 2 4" xfId="19691"/>
    <cellStyle name="Normal 7 2 5 2 2 4 2" xfId="19692"/>
    <cellStyle name="Normal 7 2 5 2 2 4 2 2" xfId="19693"/>
    <cellStyle name="Normal 7 2 5 2 2 4 2 2 2" xfId="19694"/>
    <cellStyle name="Normal 7 2 5 2 2 4 2 3" xfId="19695"/>
    <cellStyle name="Normal 7 2 5 2 2 4 3" xfId="19696"/>
    <cellStyle name="Normal 7 2 5 2 2 4 3 2" xfId="19697"/>
    <cellStyle name="Normal 7 2 5 2 2 4 4" xfId="19698"/>
    <cellStyle name="Normal 7 2 5 2 2 5" xfId="19699"/>
    <cellStyle name="Normal 7 2 5 2 2 5 2" xfId="19700"/>
    <cellStyle name="Normal 7 2 5 2 2 5 2 2" xfId="19701"/>
    <cellStyle name="Normal 7 2 5 2 2 5 3" xfId="19702"/>
    <cellStyle name="Normal 7 2 5 2 2 6" xfId="19703"/>
    <cellStyle name="Normal 7 2 5 2 2 6 2" xfId="19704"/>
    <cellStyle name="Normal 7 2 5 2 2 6 2 2" xfId="19705"/>
    <cellStyle name="Normal 7 2 5 2 2 6 3" xfId="19706"/>
    <cellStyle name="Normal 7 2 5 2 2 7" xfId="19707"/>
    <cellStyle name="Normal 7 2 5 2 2 7 2" xfId="19708"/>
    <cellStyle name="Normal 7 2 5 2 2 8" xfId="19709"/>
    <cellStyle name="Normal 7 2 5 2 2 8 2" xfId="36774"/>
    <cellStyle name="Normal 7 2 5 2 2 9" xfId="19710"/>
    <cellStyle name="Normal 7 2 5 2 3" xfId="19711"/>
    <cellStyle name="Normal 7 2 5 2 3 2" xfId="19712"/>
    <cellStyle name="Normal 7 2 5 2 3 2 2" xfId="19713"/>
    <cellStyle name="Normal 7 2 5 2 3 2 2 2" xfId="19714"/>
    <cellStyle name="Normal 7 2 5 2 3 2 2 2 2" xfId="19715"/>
    <cellStyle name="Normal 7 2 5 2 3 2 2 2 3" xfId="19716"/>
    <cellStyle name="Normal 7 2 5 2 3 2 2 3" xfId="19717"/>
    <cellStyle name="Normal 7 2 5 2 3 2 2 3 2" xfId="19718"/>
    <cellStyle name="Normal 7 2 5 2 3 2 2 4" xfId="19719"/>
    <cellStyle name="Normal 7 2 5 2 3 2 3" xfId="19720"/>
    <cellStyle name="Normal 7 2 5 2 3 2 3 2" xfId="19721"/>
    <cellStyle name="Normal 7 2 5 2 3 2 3 2 2" xfId="19722"/>
    <cellStyle name="Normal 7 2 5 2 3 2 3 3" xfId="19723"/>
    <cellStyle name="Normal 7 2 5 2 3 2 4" xfId="19724"/>
    <cellStyle name="Normal 7 2 5 2 3 2 4 2" xfId="19725"/>
    <cellStyle name="Normal 7 2 5 2 3 2 4 3" xfId="19726"/>
    <cellStyle name="Normal 7 2 5 2 3 2 5" xfId="19727"/>
    <cellStyle name="Normal 7 2 5 2 3 2 5 2" xfId="19728"/>
    <cellStyle name="Normal 7 2 5 2 3 2 6" xfId="19729"/>
    <cellStyle name="Normal 7 2 5 2 3 2 6 2" xfId="36775"/>
    <cellStyle name="Normal 7 2 5 2 3 2 7" xfId="19730"/>
    <cellStyle name="Normal 7 2 5 2 3 3" xfId="19731"/>
    <cellStyle name="Normal 7 2 5 2 3 3 2" xfId="19732"/>
    <cellStyle name="Normal 7 2 5 2 3 3 2 2" xfId="19733"/>
    <cellStyle name="Normal 7 2 5 2 3 3 2 2 2" xfId="19734"/>
    <cellStyle name="Normal 7 2 5 2 3 3 2 3" xfId="19735"/>
    <cellStyle name="Normal 7 2 5 2 3 3 3" xfId="19736"/>
    <cellStyle name="Normal 7 2 5 2 3 3 3 2" xfId="19737"/>
    <cellStyle name="Normal 7 2 5 2 3 3 4" xfId="19738"/>
    <cellStyle name="Normal 7 2 5 2 3 4" xfId="19739"/>
    <cellStyle name="Normal 7 2 5 2 3 4 2" xfId="19740"/>
    <cellStyle name="Normal 7 2 5 2 3 4 2 2" xfId="19741"/>
    <cellStyle name="Normal 7 2 5 2 3 4 3" xfId="19742"/>
    <cellStyle name="Normal 7 2 5 2 3 5" xfId="19743"/>
    <cellStyle name="Normal 7 2 5 2 3 5 2" xfId="19744"/>
    <cellStyle name="Normal 7 2 5 2 3 5 2 2" xfId="19745"/>
    <cellStyle name="Normal 7 2 5 2 3 5 3" xfId="19746"/>
    <cellStyle name="Normal 7 2 5 2 3 6" xfId="19747"/>
    <cellStyle name="Normal 7 2 5 2 3 6 2" xfId="19748"/>
    <cellStyle name="Normal 7 2 5 2 3 7" xfId="19749"/>
    <cellStyle name="Normal 7 2 5 2 3 7 2" xfId="36776"/>
    <cellStyle name="Normal 7 2 5 2 3 8" xfId="19750"/>
    <cellStyle name="Normal 7 2 5 2 4" xfId="19751"/>
    <cellStyle name="Normal 7 2 5 2 4 2" xfId="19752"/>
    <cellStyle name="Normal 7 2 5 2 4 2 2" xfId="19753"/>
    <cellStyle name="Normal 7 2 5 2 4 2 2 2" xfId="19754"/>
    <cellStyle name="Normal 7 2 5 2 4 2 2 3" xfId="19755"/>
    <cellStyle name="Normal 7 2 5 2 4 2 3" xfId="19756"/>
    <cellStyle name="Normal 7 2 5 2 4 2 3 2" xfId="19757"/>
    <cellStyle name="Normal 7 2 5 2 4 2 4" xfId="19758"/>
    <cellStyle name="Normal 7 2 5 2 4 3" xfId="19759"/>
    <cellStyle name="Normal 7 2 5 2 4 3 2" xfId="19760"/>
    <cellStyle name="Normal 7 2 5 2 4 3 2 2" xfId="19761"/>
    <cellStyle name="Normal 7 2 5 2 4 3 3" xfId="19762"/>
    <cellStyle name="Normal 7 2 5 2 4 4" xfId="19763"/>
    <cellStyle name="Normal 7 2 5 2 4 4 2" xfId="19764"/>
    <cellStyle name="Normal 7 2 5 2 4 4 3" xfId="19765"/>
    <cellStyle name="Normal 7 2 5 2 4 5" xfId="19766"/>
    <cellStyle name="Normal 7 2 5 2 4 5 2" xfId="19767"/>
    <cellStyle name="Normal 7 2 5 2 4 6" xfId="19768"/>
    <cellStyle name="Normal 7 2 5 2 4 6 2" xfId="36777"/>
    <cellStyle name="Normal 7 2 5 2 4 7" xfId="19769"/>
    <cellStyle name="Normal 7 2 5 2 5" xfId="19770"/>
    <cellStyle name="Normal 7 2 5 2 5 2" xfId="19771"/>
    <cellStyle name="Normal 7 2 5 2 5 2 2" xfId="19772"/>
    <cellStyle name="Normal 7 2 5 2 5 2 2 2" xfId="19773"/>
    <cellStyle name="Normal 7 2 5 2 5 2 3" xfId="19774"/>
    <cellStyle name="Normal 7 2 5 2 5 3" xfId="19775"/>
    <cellStyle name="Normal 7 2 5 2 5 3 2" xfId="19776"/>
    <cellStyle name="Normal 7 2 5 2 5 4" xfId="19777"/>
    <cellStyle name="Normal 7 2 5 2 6" xfId="19778"/>
    <cellStyle name="Normal 7 2 5 2 6 2" xfId="19779"/>
    <cellStyle name="Normal 7 2 5 2 6 2 2" xfId="19780"/>
    <cellStyle name="Normal 7 2 5 2 6 3" xfId="19781"/>
    <cellStyle name="Normal 7 2 5 2 7" xfId="19782"/>
    <cellStyle name="Normal 7 2 5 2 7 2" xfId="19783"/>
    <cellStyle name="Normal 7 2 5 2 7 2 2" xfId="19784"/>
    <cellStyle name="Normal 7 2 5 2 7 3" xfId="19785"/>
    <cellStyle name="Normal 7 2 5 2 8" xfId="19786"/>
    <cellStyle name="Normal 7 2 5 2 8 2" xfId="19787"/>
    <cellStyle name="Normal 7 2 5 2 9" xfId="19788"/>
    <cellStyle name="Normal 7 2 5 2 9 2" xfId="36778"/>
    <cellStyle name="Normal 7 2 5 3" xfId="19789"/>
    <cellStyle name="Normal 7 2 5 3 2" xfId="19790"/>
    <cellStyle name="Normal 7 2 5 3 2 2" xfId="19791"/>
    <cellStyle name="Normal 7 2 5 3 2 2 2" xfId="19792"/>
    <cellStyle name="Normal 7 2 5 3 2 2 2 2" xfId="19793"/>
    <cellStyle name="Normal 7 2 5 3 2 2 2 2 2" xfId="19794"/>
    <cellStyle name="Normal 7 2 5 3 2 2 2 2 3" xfId="19795"/>
    <cellStyle name="Normal 7 2 5 3 2 2 2 3" xfId="19796"/>
    <cellStyle name="Normal 7 2 5 3 2 2 2 3 2" xfId="19797"/>
    <cellStyle name="Normal 7 2 5 3 2 2 2 4" xfId="19798"/>
    <cellStyle name="Normal 7 2 5 3 2 2 3" xfId="19799"/>
    <cellStyle name="Normal 7 2 5 3 2 2 3 2" xfId="19800"/>
    <cellStyle name="Normal 7 2 5 3 2 2 3 2 2" xfId="19801"/>
    <cellStyle name="Normal 7 2 5 3 2 2 3 3" xfId="19802"/>
    <cellStyle name="Normal 7 2 5 3 2 2 4" xfId="19803"/>
    <cellStyle name="Normal 7 2 5 3 2 2 4 2" xfId="19804"/>
    <cellStyle name="Normal 7 2 5 3 2 2 4 3" xfId="19805"/>
    <cellStyle name="Normal 7 2 5 3 2 2 5" xfId="19806"/>
    <cellStyle name="Normal 7 2 5 3 2 2 5 2" xfId="19807"/>
    <cellStyle name="Normal 7 2 5 3 2 2 6" xfId="19808"/>
    <cellStyle name="Normal 7 2 5 3 2 2 6 2" xfId="36779"/>
    <cellStyle name="Normal 7 2 5 3 2 2 7" xfId="19809"/>
    <cellStyle name="Normal 7 2 5 3 2 3" xfId="19810"/>
    <cellStyle name="Normal 7 2 5 3 2 3 2" xfId="19811"/>
    <cellStyle name="Normal 7 2 5 3 2 3 2 2" xfId="19812"/>
    <cellStyle name="Normal 7 2 5 3 2 3 2 2 2" xfId="19813"/>
    <cellStyle name="Normal 7 2 5 3 2 3 2 3" xfId="19814"/>
    <cellStyle name="Normal 7 2 5 3 2 3 3" xfId="19815"/>
    <cellStyle name="Normal 7 2 5 3 2 3 3 2" xfId="19816"/>
    <cellStyle name="Normal 7 2 5 3 2 3 4" xfId="19817"/>
    <cellStyle name="Normal 7 2 5 3 2 4" xfId="19818"/>
    <cellStyle name="Normal 7 2 5 3 2 4 2" xfId="19819"/>
    <cellStyle name="Normal 7 2 5 3 2 4 2 2" xfId="19820"/>
    <cellStyle name="Normal 7 2 5 3 2 4 3" xfId="19821"/>
    <cellStyle name="Normal 7 2 5 3 2 5" xfId="19822"/>
    <cellStyle name="Normal 7 2 5 3 2 5 2" xfId="19823"/>
    <cellStyle name="Normal 7 2 5 3 2 5 2 2" xfId="19824"/>
    <cellStyle name="Normal 7 2 5 3 2 5 3" xfId="19825"/>
    <cellStyle name="Normal 7 2 5 3 2 6" xfId="19826"/>
    <cellStyle name="Normal 7 2 5 3 2 6 2" xfId="19827"/>
    <cellStyle name="Normal 7 2 5 3 2 7" xfId="19828"/>
    <cellStyle name="Normal 7 2 5 3 2 7 2" xfId="36780"/>
    <cellStyle name="Normal 7 2 5 3 2 8" xfId="19829"/>
    <cellStyle name="Normal 7 2 5 3 3" xfId="19830"/>
    <cellStyle name="Normal 7 2 5 3 3 2" xfId="19831"/>
    <cellStyle name="Normal 7 2 5 3 3 2 2" xfId="19832"/>
    <cellStyle name="Normal 7 2 5 3 3 2 2 2" xfId="19833"/>
    <cellStyle name="Normal 7 2 5 3 3 2 2 3" xfId="19834"/>
    <cellStyle name="Normal 7 2 5 3 3 2 3" xfId="19835"/>
    <cellStyle name="Normal 7 2 5 3 3 2 3 2" xfId="19836"/>
    <cellStyle name="Normal 7 2 5 3 3 2 4" xfId="19837"/>
    <cellStyle name="Normal 7 2 5 3 3 3" xfId="19838"/>
    <cellStyle name="Normal 7 2 5 3 3 3 2" xfId="19839"/>
    <cellStyle name="Normal 7 2 5 3 3 3 2 2" xfId="19840"/>
    <cellStyle name="Normal 7 2 5 3 3 3 3" xfId="19841"/>
    <cellStyle name="Normal 7 2 5 3 3 4" xfId="19842"/>
    <cellStyle name="Normal 7 2 5 3 3 4 2" xfId="19843"/>
    <cellStyle name="Normal 7 2 5 3 3 4 3" xfId="19844"/>
    <cellStyle name="Normal 7 2 5 3 3 5" xfId="19845"/>
    <cellStyle name="Normal 7 2 5 3 3 5 2" xfId="19846"/>
    <cellStyle name="Normal 7 2 5 3 3 6" xfId="19847"/>
    <cellStyle name="Normal 7 2 5 3 3 6 2" xfId="36781"/>
    <cellStyle name="Normal 7 2 5 3 3 7" xfId="19848"/>
    <cellStyle name="Normal 7 2 5 3 4" xfId="19849"/>
    <cellStyle name="Normal 7 2 5 3 4 2" xfId="19850"/>
    <cellStyle name="Normal 7 2 5 3 4 2 2" xfId="19851"/>
    <cellStyle name="Normal 7 2 5 3 4 2 2 2" xfId="19852"/>
    <cellStyle name="Normal 7 2 5 3 4 2 3" xfId="19853"/>
    <cellStyle name="Normal 7 2 5 3 4 3" xfId="19854"/>
    <cellStyle name="Normal 7 2 5 3 4 3 2" xfId="19855"/>
    <cellStyle name="Normal 7 2 5 3 4 4" xfId="19856"/>
    <cellStyle name="Normal 7 2 5 3 5" xfId="19857"/>
    <cellStyle name="Normal 7 2 5 3 5 2" xfId="19858"/>
    <cellStyle name="Normal 7 2 5 3 5 2 2" xfId="19859"/>
    <cellStyle name="Normal 7 2 5 3 5 3" xfId="19860"/>
    <cellStyle name="Normal 7 2 5 3 6" xfId="19861"/>
    <cellStyle name="Normal 7 2 5 3 6 2" xfId="19862"/>
    <cellStyle name="Normal 7 2 5 3 6 2 2" xfId="19863"/>
    <cellStyle name="Normal 7 2 5 3 6 3" xfId="19864"/>
    <cellStyle name="Normal 7 2 5 3 7" xfId="19865"/>
    <cellStyle name="Normal 7 2 5 3 7 2" xfId="19866"/>
    <cellStyle name="Normal 7 2 5 3 8" xfId="19867"/>
    <cellStyle name="Normal 7 2 5 3 8 2" xfId="36782"/>
    <cellStyle name="Normal 7 2 5 3 9" xfId="19868"/>
    <cellStyle name="Normal 7 2 5 4" xfId="19869"/>
    <cellStyle name="Normal 7 2 5 4 2" xfId="19870"/>
    <cellStyle name="Normal 7 2 5 4 2 2" xfId="19871"/>
    <cellStyle name="Normal 7 2 5 4 2 2 2" xfId="19872"/>
    <cellStyle name="Normal 7 2 5 4 2 2 2 2" xfId="19873"/>
    <cellStyle name="Normal 7 2 5 4 2 2 2 3" xfId="19874"/>
    <cellStyle name="Normal 7 2 5 4 2 2 3" xfId="19875"/>
    <cellStyle name="Normal 7 2 5 4 2 2 3 2" xfId="19876"/>
    <cellStyle name="Normal 7 2 5 4 2 2 4" xfId="19877"/>
    <cellStyle name="Normal 7 2 5 4 2 3" xfId="19878"/>
    <cellStyle name="Normal 7 2 5 4 2 3 2" xfId="19879"/>
    <cellStyle name="Normal 7 2 5 4 2 3 2 2" xfId="19880"/>
    <cellStyle name="Normal 7 2 5 4 2 3 3" xfId="19881"/>
    <cellStyle name="Normal 7 2 5 4 2 4" xfId="19882"/>
    <cellStyle name="Normal 7 2 5 4 2 4 2" xfId="19883"/>
    <cellStyle name="Normal 7 2 5 4 2 4 3" xfId="19884"/>
    <cellStyle name="Normal 7 2 5 4 2 5" xfId="19885"/>
    <cellStyle name="Normal 7 2 5 4 2 5 2" xfId="19886"/>
    <cellStyle name="Normal 7 2 5 4 2 6" xfId="19887"/>
    <cellStyle name="Normal 7 2 5 4 2 6 2" xfId="36783"/>
    <cellStyle name="Normal 7 2 5 4 2 7" xfId="19888"/>
    <cellStyle name="Normal 7 2 5 4 3" xfId="19889"/>
    <cellStyle name="Normal 7 2 5 4 3 2" xfId="19890"/>
    <cellStyle name="Normal 7 2 5 4 3 2 2" xfId="19891"/>
    <cellStyle name="Normal 7 2 5 4 3 2 2 2" xfId="19892"/>
    <cellStyle name="Normal 7 2 5 4 3 2 3" xfId="19893"/>
    <cellStyle name="Normal 7 2 5 4 3 3" xfId="19894"/>
    <cellStyle name="Normal 7 2 5 4 3 3 2" xfId="19895"/>
    <cellStyle name="Normal 7 2 5 4 3 4" xfId="19896"/>
    <cellStyle name="Normal 7 2 5 4 4" xfId="19897"/>
    <cellStyle name="Normal 7 2 5 4 4 2" xfId="19898"/>
    <cellStyle name="Normal 7 2 5 4 4 2 2" xfId="19899"/>
    <cellStyle name="Normal 7 2 5 4 4 3" xfId="19900"/>
    <cellStyle name="Normal 7 2 5 4 5" xfId="19901"/>
    <cellStyle name="Normal 7 2 5 4 5 2" xfId="19902"/>
    <cellStyle name="Normal 7 2 5 4 5 2 2" xfId="19903"/>
    <cellStyle name="Normal 7 2 5 4 5 3" xfId="19904"/>
    <cellStyle name="Normal 7 2 5 4 6" xfId="19905"/>
    <cellStyle name="Normal 7 2 5 4 6 2" xfId="19906"/>
    <cellStyle name="Normal 7 2 5 4 7" xfId="19907"/>
    <cellStyle name="Normal 7 2 5 4 7 2" xfId="36784"/>
    <cellStyle name="Normal 7 2 5 4 8" xfId="19908"/>
    <cellStyle name="Normal 7 2 5 5" xfId="19909"/>
    <cellStyle name="Normal 7 2 5 5 2" xfId="19910"/>
    <cellStyle name="Normal 7 2 5 5 2 2" xfId="19911"/>
    <cellStyle name="Normal 7 2 5 5 2 2 2" xfId="19912"/>
    <cellStyle name="Normal 7 2 5 5 2 2 2 2" xfId="19913"/>
    <cellStyle name="Normal 7 2 5 5 2 2 2 3" xfId="19914"/>
    <cellStyle name="Normal 7 2 5 5 2 2 3" xfId="19915"/>
    <cellStyle name="Normal 7 2 5 5 2 2 3 2" xfId="19916"/>
    <cellStyle name="Normal 7 2 5 5 2 2 4" xfId="19917"/>
    <cellStyle name="Normal 7 2 5 5 2 3" xfId="19918"/>
    <cellStyle name="Normal 7 2 5 5 2 3 2" xfId="19919"/>
    <cellStyle name="Normal 7 2 5 5 2 3 2 2" xfId="19920"/>
    <cellStyle name="Normal 7 2 5 5 2 3 3" xfId="19921"/>
    <cellStyle name="Normal 7 2 5 5 2 4" xfId="19922"/>
    <cellStyle name="Normal 7 2 5 5 2 4 2" xfId="19923"/>
    <cellStyle name="Normal 7 2 5 5 2 4 3" xfId="19924"/>
    <cellStyle name="Normal 7 2 5 5 2 5" xfId="19925"/>
    <cellStyle name="Normal 7 2 5 5 2 5 2" xfId="19926"/>
    <cellStyle name="Normal 7 2 5 5 2 6" xfId="19927"/>
    <cellStyle name="Normal 7 2 5 5 2 6 2" xfId="36785"/>
    <cellStyle name="Normal 7 2 5 5 2 7" xfId="19928"/>
    <cellStyle name="Normal 7 2 5 5 3" xfId="19929"/>
    <cellStyle name="Normal 7 2 5 5 3 2" xfId="19930"/>
    <cellStyle name="Normal 7 2 5 5 3 2 2" xfId="19931"/>
    <cellStyle name="Normal 7 2 5 5 3 2 2 2" xfId="19932"/>
    <cellStyle name="Normal 7 2 5 5 3 2 3" xfId="19933"/>
    <cellStyle name="Normal 7 2 5 5 3 3" xfId="19934"/>
    <cellStyle name="Normal 7 2 5 5 3 3 2" xfId="19935"/>
    <cellStyle name="Normal 7 2 5 5 3 4" xfId="19936"/>
    <cellStyle name="Normal 7 2 5 5 4" xfId="19937"/>
    <cellStyle name="Normal 7 2 5 5 4 2" xfId="19938"/>
    <cellStyle name="Normal 7 2 5 5 4 2 2" xfId="19939"/>
    <cellStyle name="Normal 7 2 5 5 4 3" xfId="19940"/>
    <cellStyle name="Normal 7 2 5 5 5" xfId="19941"/>
    <cellStyle name="Normal 7 2 5 5 5 2" xfId="19942"/>
    <cellStyle name="Normal 7 2 5 5 5 2 2" xfId="19943"/>
    <cellStyle name="Normal 7 2 5 5 5 3" xfId="19944"/>
    <cellStyle name="Normal 7 2 5 5 6" xfId="19945"/>
    <cellStyle name="Normal 7 2 5 5 6 2" xfId="19946"/>
    <cellStyle name="Normal 7 2 5 5 7" xfId="19947"/>
    <cellStyle name="Normal 7 2 5 5 7 2" xfId="36786"/>
    <cellStyle name="Normal 7 2 5 5 8" xfId="19948"/>
    <cellStyle name="Normal 7 2 5 6" xfId="19949"/>
    <cellStyle name="Normal 7 2 5 6 2" xfId="19950"/>
    <cellStyle name="Normal 7 2 5 6 2 2" xfId="19951"/>
    <cellStyle name="Normal 7 2 5 6 2 2 2" xfId="19952"/>
    <cellStyle name="Normal 7 2 5 6 2 2 3" xfId="19953"/>
    <cellStyle name="Normal 7 2 5 6 2 3" xfId="19954"/>
    <cellStyle name="Normal 7 2 5 6 2 3 2" xfId="19955"/>
    <cellStyle name="Normal 7 2 5 6 2 4" xfId="19956"/>
    <cellStyle name="Normal 7 2 5 6 3" xfId="19957"/>
    <cellStyle name="Normal 7 2 5 6 3 2" xfId="19958"/>
    <cellStyle name="Normal 7 2 5 6 3 2 2" xfId="19959"/>
    <cellStyle name="Normal 7 2 5 6 3 3" xfId="19960"/>
    <cellStyle name="Normal 7 2 5 6 4" xfId="19961"/>
    <cellStyle name="Normal 7 2 5 6 4 2" xfId="19962"/>
    <cellStyle name="Normal 7 2 5 6 4 3" xfId="19963"/>
    <cellStyle name="Normal 7 2 5 6 5" xfId="19964"/>
    <cellStyle name="Normal 7 2 5 6 5 2" xfId="19965"/>
    <cellStyle name="Normal 7 2 5 6 6" xfId="19966"/>
    <cellStyle name="Normal 7 2 5 6 6 2" xfId="36787"/>
    <cellStyle name="Normal 7 2 5 6 7" xfId="19967"/>
    <cellStyle name="Normal 7 2 5 7" xfId="19968"/>
    <cellStyle name="Normal 7 2 5 7 2" xfId="19969"/>
    <cellStyle name="Normal 7 2 5 7 2 2" xfId="19970"/>
    <cellStyle name="Normal 7 2 5 7 2 2 2" xfId="19971"/>
    <cellStyle name="Normal 7 2 5 7 2 3" xfId="19972"/>
    <cellStyle name="Normal 7 2 5 7 3" xfId="19973"/>
    <cellStyle name="Normal 7 2 5 7 3 2" xfId="19974"/>
    <cellStyle name="Normal 7 2 5 7 4" xfId="19975"/>
    <cellStyle name="Normal 7 2 5 8" xfId="19976"/>
    <cellStyle name="Normal 7 2 5 8 2" xfId="19977"/>
    <cellStyle name="Normal 7 2 5 8 2 2" xfId="19978"/>
    <cellStyle name="Normal 7 2 5 8 3" xfId="19979"/>
    <cellStyle name="Normal 7 2 5 9" xfId="19980"/>
    <cellStyle name="Normal 7 2 5 9 2" xfId="19981"/>
    <cellStyle name="Normal 7 2 5 9 2 2" xfId="19982"/>
    <cellStyle name="Normal 7 2 5 9 3" xfId="19983"/>
    <cellStyle name="Normal 7 2 6" xfId="19984"/>
    <cellStyle name="Normal 7 2 6 10" xfId="19985"/>
    <cellStyle name="Normal 7 2 6 2" xfId="19986"/>
    <cellStyle name="Normal 7 2 6 2 2" xfId="19987"/>
    <cellStyle name="Normal 7 2 6 2 2 2" xfId="19988"/>
    <cellStyle name="Normal 7 2 6 2 2 2 2" xfId="19989"/>
    <cellStyle name="Normal 7 2 6 2 2 2 2 2" xfId="19990"/>
    <cellStyle name="Normal 7 2 6 2 2 2 2 2 2" xfId="19991"/>
    <cellStyle name="Normal 7 2 6 2 2 2 2 2 3" xfId="19992"/>
    <cellStyle name="Normal 7 2 6 2 2 2 2 3" xfId="19993"/>
    <cellStyle name="Normal 7 2 6 2 2 2 2 3 2" xfId="19994"/>
    <cellStyle name="Normal 7 2 6 2 2 2 2 4" xfId="19995"/>
    <cellStyle name="Normal 7 2 6 2 2 2 3" xfId="19996"/>
    <cellStyle name="Normal 7 2 6 2 2 2 3 2" xfId="19997"/>
    <cellStyle name="Normal 7 2 6 2 2 2 3 2 2" xfId="19998"/>
    <cellStyle name="Normal 7 2 6 2 2 2 3 3" xfId="19999"/>
    <cellStyle name="Normal 7 2 6 2 2 2 4" xfId="20000"/>
    <cellStyle name="Normal 7 2 6 2 2 2 4 2" xfId="20001"/>
    <cellStyle name="Normal 7 2 6 2 2 2 4 3" xfId="20002"/>
    <cellStyle name="Normal 7 2 6 2 2 2 5" xfId="20003"/>
    <cellStyle name="Normal 7 2 6 2 2 2 5 2" xfId="20004"/>
    <cellStyle name="Normal 7 2 6 2 2 2 6" xfId="20005"/>
    <cellStyle name="Normal 7 2 6 2 2 2 6 2" xfId="36788"/>
    <cellStyle name="Normal 7 2 6 2 2 2 7" xfId="20006"/>
    <cellStyle name="Normal 7 2 6 2 2 3" xfId="20007"/>
    <cellStyle name="Normal 7 2 6 2 2 3 2" xfId="20008"/>
    <cellStyle name="Normal 7 2 6 2 2 3 2 2" xfId="20009"/>
    <cellStyle name="Normal 7 2 6 2 2 3 2 2 2" xfId="20010"/>
    <cellStyle name="Normal 7 2 6 2 2 3 2 3" xfId="20011"/>
    <cellStyle name="Normal 7 2 6 2 2 3 3" xfId="20012"/>
    <cellStyle name="Normal 7 2 6 2 2 3 3 2" xfId="20013"/>
    <cellStyle name="Normal 7 2 6 2 2 3 4" xfId="20014"/>
    <cellStyle name="Normal 7 2 6 2 2 4" xfId="20015"/>
    <cellStyle name="Normal 7 2 6 2 2 4 2" xfId="20016"/>
    <cellStyle name="Normal 7 2 6 2 2 4 2 2" xfId="20017"/>
    <cellStyle name="Normal 7 2 6 2 2 4 3" xfId="20018"/>
    <cellStyle name="Normal 7 2 6 2 2 5" xfId="20019"/>
    <cellStyle name="Normal 7 2 6 2 2 5 2" xfId="20020"/>
    <cellStyle name="Normal 7 2 6 2 2 5 2 2" xfId="20021"/>
    <cellStyle name="Normal 7 2 6 2 2 5 3" xfId="20022"/>
    <cellStyle name="Normal 7 2 6 2 2 6" xfId="20023"/>
    <cellStyle name="Normal 7 2 6 2 2 6 2" xfId="20024"/>
    <cellStyle name="Normal 7 2 6 2 2 7" xfId="20025"/>
    <cellStyle name="Normal 7 2 6 2 2 7 2" xfId="36789"/>
    <cellStyle name="Normal 7 2 6 2 2 8" xfId="20026"/>
    <cellStyle name="Normal 7 2 6 2 3" xfId="20027"/>
    <cellStyle name="Normal 7 2 6 2 3 2" xfId="20028"/>
    <cellStyle name="Normal 7 2 6 2 3 2 2" xfId="20029"/>
    <cellStyle name="Normal 7 2 6 2 3 2 2 2" xfId="20030"/>
    <cellStyle name="Normal 7 2 6 2 3 2 2 3" xfId="20031"/>
    <cellStyle name="Normal 7 2 6 2 3 2 3" xfId="20032"/>
    <cellStyle name="Normal 7 2 6 2 3 2 3 2" xfId="20033"/>
    <cellStyle name="Normal 7 2 6 2 3 2 4" xfId="20034"/>
    <cellStyle name="Normal 7 2 6 2 3 3" xfId="20035"/>
    <cellStyle name="Normal 7 2 6 2 3 3 2" xfId="20036"/>
    <cellStyle name="Normal 7 2 6 2 3 3 2 2" xfId="20037"/>
    <cellStyle name="Normal 7 2 6 2 3 3 3" xfId="20038"/>
    <cellStyle name="Normal 7 2 6 2 3 4" xfId="20039"/>
    <cellStyle name="Normal 7 2 6 2 3 4 2" xfId="20040"/>
    <cellStyle name="Normal 7 2 6 2 3 4 3" xfId="20041"/>
    <cellStyle name="Normal 7 2 6 2 3 5" xfId="20042"/>
    <cellStyle name="Normal 7 2 6 2 3 5 2" xfId="20043"/>
    <cellStyle name="Normal 7 2 6 2 3 6" xfId="20044"/>
    <cellStyle name="Normal 7 2 6 2 3 6 2" xfId="36790"/>
    <cellStyle name="Normal 7 2 6 2 3 7" xfId="20045"/>
    <cellStyle name="Normal 7 2 6 2 4" xfId="20046"/>
    <cellStyle name="Normal 7 2 6 2 4 2" xfId="20047"/>
    <cellStyle name="Normal 7 2 6 2 4 2 2" xfId="20048"/>
    <cellStyle name="Normal 7 2 6 2 4 2 2 2" xfId="20049"/>
    <cellStyle name="Normal 7 2 6 2 4 2 3" xfId="20050"/>
    <cellStyle name="Normal 7 2 6 2 4 3" xfId="20051"/>
    <cellStyle name="Normal 7 2 6 2 4 3 2" xfId="20052"/>
    <cellStyle name="Normal 7 2 6 2 4 4" xfId="20053"/>
    <cellStyle name="Normal 7 2 6 2 5" xfId="20054"/>
    <cellStyle name="Normal 7 2 6 2 5 2" xfId="20055"/>
    <cellStyle name="Normal 7 2 6 2 5 2 2" xfId="20056"/>
    <cellStyle name="Normal 7 2 6 2 5 3" xfId="20057"/>
    <cellStyle name="Normal 7 2 6 2 6" xfId="20058"/>
    <cellStyle name="Normal 7 2 6 2 6 2" xfId="20059"/>
    <cellStyle name="Normal 7 2 6 2 6 2 2" xfId="20060"/>
    <cellStyle name="Normal 7 2 6 2 6 3" xfId="20061"/>
    <cellStyle name="Normal 7 2 6 2 7" xfId="20062"/>
    <cellStyle name="Normal 7 2 6 2 7 2" xfId="20063"/>
    <cellStyle name="Normal 7 2 6 2 8" xfId="20064"/>
    <cellStyle name="Normal 7 2 6 2 8 2" xfId="36791"/>
    <cellStyle name="Normal 7 2 6 2 9" xfId="20065"/>
    <cellStyle name="Normal 7 2 6 3" xfId="20066"/>
    <cellStyle name="Normal 7 2 6 3 2" xfId="20067"/>
    <cellStyle name="Normal 7 2 6 3 2 2" xfId="20068"/>
    <cellStyle name="Normal 7 2 6 3 2 2 2" xfId="20069"/>
    <cellStyle name="Normal 7 2 6 3 2 2 2 2" xfId="20070"/>
    <cellStyle name="Normal 7 2 6 3 2 2 2 3" xfId="20071"/>
    <cellStyle name="Normal 7 2 6 3 2 2 3" xfId="20072"/>
    <cellStyle name="Normal 7 2 6 3 2 2 3 2" xfId="20073"/>
    <cellStyle name="Normal 7 2 6 3 2 2 4" xfId="20074"/>
    <cellStyle name="Normal 7 2 6 3 2 3" xfId="20075"/>
    <cellStyle name="Normal 7 2 6 3 2 3 2" xfId="20076"/>
    <cellStyle name="Normal 7 2 6 3 2 3 2 2" xfId="20077"/>
    <cellStyle name="Normal 7 2 6 3 2 3 3" xfId="20078"/>
    <cellStyle name="Normal 7 2 6 3 2 4" xfId="20079"/>
    <cellStyle name="Normal 7 2 6 3 2 4 2" xfId="20080"/>
    <cellStyle name="Normal 7 2 6 3 2 4 3" xfId="20081"/>
    <cellStyle name="Normal 7 2 6 3 2 5" xfId="20082"/>
    <cellStyle name="Normal 7 2 6 3 2 5 2" xfId="20083"/>
    <cellStyle name="Normal 7 2 6 3 2 6" xfId="20084"/>
    <cellStyle name="Normal 7 2 6 3 2 6 2" xfId="36792"/>
    <cellStyle name="Normal 7 2 6 3 2 7" xfId="20085"/>
    <cellStyle name="Normal 7 2 6 3 3" xfId="20086"/>
    <cellStyle name="Normal 7 2 6 3 3 2" xfId="20087"/>
    <cellStyle name="Normal 7 2 6 3 3 2 2" xfId="20088"/>
    <cellStyle name="Normal 7 2 6 3 3 2 2 2" xfId="20089"/>
    <cellStyle name="Normal 7 2 6 3 3 2 3" xfId="20090"/>
    <cellStyle name="Normal 7 2 6 3 3 3" xfId="20091"/>
    <cellStyle name="Normal 7 2 6 3 3 3 2" xfId="20092"/>
    <cellStyle name="Normal 7 2 6 3 3 4" xfId="20093"/>
    <cellStyle name="Normal 7 2 6 3 4" xfId="20094"/>
    <cellStyle name="Normal 7 2 6 3 4 2" xfId="20095"/>
    <cellStyle name="Normal 7 2 6 3 4 2 2" xfId="20096"/>
    <cellStyle name="Normal 7 2 6 3 4 3" xfId="20097"/>
    <cellStyle name="Normal 7 2 6 3 5" xfId="20098"/>
    <cellStyle name="Normal 7 2 6 3 5 2" xfId="20099"/>
    <cellStyle name="Normal 7 2 6 3 5 2 2" xfId="20100"/>
    <cellStyle name="Normal 7 2 6 3 5 3" xfId="20101"/>
    <cellStyle name="Normal 7 2 6 3 6" xfId="20102"/>
    <cellStyle name="Normal 7 2 6 3 6 2" xfId="20103"/>
    <cellStyle name="Normal 7 2 6 3 7" xfId="20104"/>
    <cellStyle name="Normal 7 2 6 3 7 2" xfId="36793"/>
    <cellStyle name="Normal 7 2 6 3 8" xfId="20105"/>
    <cellStyle name="Normal 7 2 6 4" xfId="20106"/>
    <cellStyle name="Normal 7 2 6 4 2" xfId="20107"/>
    <cellStyle name="Normal 7 2 6 4 2 2" xfId="20108"/>
    <cellStyle name="Normal 7 2 6 4 2 2 2" xfId="20109"/>
    <cellStyle name="Normal 7 2 6 4 2 2 3" xfId="20110"/>
    <cellStyle name="Normal 7 2 6 4 2 3" xfId="20111"/>
    <cellStyle name="Normal 7 2 6 4 2 3 2" xfId="20112"/>
    <cellStyle name="Normal 7 2 6 4 2 4" xfId="20113"/>
    <cellStyle name="Normal 7 2 6 4 3" xfId="20114"/>
    <cellStyle name="Normal 7 2 6 4 3 2" xfId="20115"/>
    <cellStyle name="Normal 7 2 6 4 3 2 2" xfId="20116"/>
    <cellStyle name="Normal 7 2 6 4 3 3" xfId="20117"/>
    <cellStyle name="Normal 7 2 6 4 4" xfId="20118"/>
    <cellStyle name="Normal 7 2 6 4 4 2" xfId="20119"/>
    <cellStyle name="Normal 7 2 6 4 4 3" xfId="20120"/>
    <cellStyle name="Normal 7 2 6 4 5" xfId="20121"/>
    <cellStyle name="Normal 7 2 6 4 5 2" xfId="20122"/>
    <cellStyle name="Normal 7 2 6 4 6" xfId="20123"/>
    <cellStyle name="Normal 7 2 6 4 6 2" xfId="36794"/>
    <cellStyle name="Normal 7 2 6 4 7" xfId="20124"/>
    <cellStyle name="Normal 7 2 6 5" xfId="20125"/>
    <cellStyle name="Normal 7 2 6 5 2" xfId="20126"/>
    <cellStyle name="Normal 7 2 6 5 2 2" xfId="20127"/>
    <cellStyle name="Normal 7 2 6 5 2 2 2" xfId="20128"/>
    <cellStyle name="Normal 7 2 6 5 2 3" xfId="20129"/>
    <cellStyle name="Normal 7 2 6 5 3" xfId="20130"/>
    <cellStyle name="Normal 7 2 6 5 3 2" xfId="20131"/>
    <cellStyle name="Normal 7 2 6 5 4" xfId="20132"/>
    <cellStyle name="Normal 7 2 6 6" xfId="20133"/>
    <cellStyle name="Normal 7 2 6 6 2" xfId="20134"/>
    <cellStyle name="Normal 7 2 6 6 2 2" xfId="20135"/>
    <cellStyle name="Normal 7 2 6 6 3" xfId="20136"/>
    <cellStyle name="Normal 7 2 6 7" xfId="20137"/>
    <cellStyle name="Normal 7 2 6 7 2" xfId="20138"/>
    <cellStyle name="Normal 7 2 6 7 2 2" xfId="20139"/>
    <cellStyle name="Normal 7 2 6 7 3" xfId="20140"/>
    <cellStyle name="Normal 7 2 6 8" xfId="20141"/>
    <cellStyle name="Normal 7 2 6 8 2" xfId="20142"/>
    <cellStyle name="Normal 7 2 6 9" xfId="20143"/>
    <cellStyle name="Normal 7 2 6 9 2" xfId="36795"/>
    <cellStyle name="Normal 7 2 7" xfId="20144"/>
    <cellStyle name="Normal 7 2 7 2" xfId="20145"/>
    <cellStyle name="Normal 7 2 7 2 2" xfId="20146"/>
    <cellStyle name="Normal 7 2 7 2 2 2" xfId="20147"/>
    <cellStyle name="Normal 7 2 7 2 2 2 2" xfId="20148"/>
    <cellStyle name="Normal 7 2 7 2 2 2 2 2" xfId="20149"/>
    <cellStyle name="Normal 7 2 7 2 2 2 2 3" xfId="20150"/>
    <cellStyle name="Normal 7 2 7 2 2 2 3" xfId="20151"/>
    <cellStyle name="Normal 7 2 7 2 2 2 3 2" xfId="20152"/>
    <cellStyle name="Normal 7 2 7 2 2 2 4" xfId="20153"/>
    <cellStyle name="Normal 7 2 7 2 2 3" xfId="20154"/>
    <cellStyle name="Normal 7 2 7 2 2 3 2" xfId="20155"/>
    <cellStyle name="Normal 7 2 7 2 2 3 2 2" xfId="20156"/>
    <cellStyle name="Normal 7 2 7 2 2 3 3" xfId="20157"/>
    <cellStyle name="Normal 7 2 7 2 2 4" xfId="20158"/>
    <cellStyle name="Normal 7 2 7 2 2 4 2" xfId="20159"/>
    <cellStyle name="Normal 7 2 7 2 2 4 3" xfId="20160"/>
    <cellStyle name="Normal 7 2 7 2 2 5" xfId="20161"/>
    <cellStyle name="Normal 7 2 7 2 2 5 2" xfId="20162"/>
    <cellStyle name="Normal 7 2 7 2 2 6" xfId="20163"/>
    <cellStyle name="Normal 7 2 7 2 2 6 2" xfId="36796"/>
    <cellStyle name="Normal 7 2 7 2 2 7" xfId="20164"/>
    <cellStyle name="Normal 7 2 7 2 3" xfId="20165"/>
    <cellStyle name="Normal 7 2 7 2 3 2" xfId="20166"/>
    <cellStyle name="Normal 7 2 7 2 3 2 2" xfId="20167"/>
    <cellStyle name="Normal 7 2 7 2 3 2 2 2" xfId="20168"/>
    <cellStyle name="Normal 7 2 7 2 3 2 3" xfId="20169"/>
    <cellStyle name="Normal 7 2 7 2 3 3" xfId="20170"/>
    <cellStyle name="Normal 7 2 7 2 3 3 2" xfId="20171"/>
    <cellStyle name="Normal 7 2 7 2 3 4" xfId="20172"/>
    <cellStyle name="Normal 7 2 7 2 4" xfId="20173"/>
    <cellStyle name="Normal 7 2 7 2 4 2" xfId="20174"/>
    <cellStyle name="Normal 7 2 7 2 4 2 2" xfId="20175"/>
    <cellStyle name="Normal 7 2 7 2 4 3" xfId="20176"/>
    <cellStyle name="Normal 7 2 7 2 5" xfId="20177"/>
    <cellStyle name="Normal 7 2 7 2 5 2" xfId="20178"/>
    <cellStyle name="Normal 7 2 7 2 5 2 2" xfId="20179"/>
    <cellStyle name="Normal 7 2 7 2 5 3" xfId="20180"/>
    <cellStyle name="Normal 7 2 7 2 6" xfId="20181"/>
    <cellStyle name="Normal 7 2 7 2 6 2" xfId="20182"/>
    <cellStyle name="Normal 7 2 7 2 7" xfId="20183"/>
    <cellStyle name="Normal 7 2 7 2 7 2" xfId="36797"/>
    <cellStyle name="Normal 7 2 7 2 8" xfId="20184"/>
    <cellStyle name="Normal 7 2 7 3" xfId="20185"/>
    <cellStyle name="Normal 7 2 7 3 2" xfId="20186"/>
    <cellStyle name="Normal 7 2 7 3 2 2" xfId="20187"/>
    <cellStyle name="Normal 7 2 7 3 2 2 2" xfId="20188"/>
    <cellStyle name="Normal 7 2 7 3 2 2 3" xfId="20189"/>
    <cellStyle name="Normal 7 2 7 3 2 3" xfId="20190"/>
    <cellStyle name="Normal 7 2 7 3 2 3 2" xfId="20191"/>
    <cellStyle name="Normal 7 2 7 3 2 4" xfId="20192"/>
    <cellStyle name="Normal 7 2 7 3 3" xfId="20193"/>
    <cellStyle name="Normal 7 2 7 3 3 2" xfId="20194"/>
    <cellStyle name="Normal 7 2 7 3 3 2 2" xfId="20195"/>
    <cellStyle name="Normal 7 2 7 3 3 3" xfId="20196"/>
    <cellStyle name="Normal 7 2 7 3 4" xfId="20197"/>
    <cellStyle name="Normal 7 2 7 3 4 2" xfId="20198"/>
    <cellStyle name="Normal 7 2 7 3 4 3" xfId="20199"/>
    <cellStyle name="Normal 7 2 7 3 5" xfId="20200"/>
    <cellStyle name="Normal 7 2 7 3 5 2" xfId="20201"/>
    <cellStyle name="Normal 7 2 7 3 6" xfId="20202"/>
    <cellStyle name="Normal 7 2 7 3 6 2" xfId="36798"/>
    <cellStyle name="Normal 7 2 7 3 7" xfId="20203"/>
    <cellStyle name="Normal 7 2 7 4" xfId="20204"/>
    <cellStyle name="Normal 7 2 7 4 2" xfId="20205"/>
    <cellStyle name="Normal 7 2 7 4 2 2" xfId="20206"/>
    <cellStyle name="Normal 7 2 7 4 2 2 2" xfId="20207"/>
    <cellStyle name="Normal 7 2 7 4 2 3" xfId="20208"/>
    <cellStyle name="Normal 7 2 7 4 3" xfId="20209"/>
    <cellStyle name="Normal 7 2 7 4 3 2" xfId="20210"/>
    <cellStyle name="Normal 7 2 7 4 4" xfId="20211"/>
    <cellStyle name="Normal 7 2 7 5" xfId="20212"/>
    <cellStyle name="Normal 7 2 7 5 2" xfId="20213"/>
    <cellStyle name="Normal 7 2 7 5 2 2" xfId="20214"/>
    <cellStyle name="Normal 7 2 7 5 3" xfId="20215"/>
    <cellStyle name="Normal 7 2 7 6" xfId="20216"/>
    <cellStyle name="Normal 7 2 7 6 2" xfId="20217"/>
    <cellStyle name="Normal 7 2 7 6 2 2" xfId="20218"/>
    <cellStyle name="Normal 7 2 7 6 3" xfId="20219"/>
    <cellStyle name="Normal 7 2 7 7" xfId="20220"/>
    <cellStyle name="Normal 7 2 7 7 2" xfId="20221"/>
    <cellStyle name="Normal 7 2 7 8" xfId="20222"/>
    <cellStyle name="Normal 7 2 7 8 2" xfId="36799"/>
    <cellStyle name="Normal 7 2 7 9" xfId="20223"/>
    <cellStyle name="Normal 7 2 8" xfId="20224"/>
    <cellStyle name="Normal 7 2 8 2" xfId="20225"/>
    <cellStyle name="Normal 7 2 8 2 2" xfId="20226"/>
    <cellStyle name="Normal 7 2 8 2 2 2" xfId="20227"/>
    <cellStyle name="Normal 7 2 8 2 2 2 2" xfId="20228"/>
    <cellStyle name="Normal 7 2 8 2 2 2 2 2" xfId="20229"/>
    <cellStyle name="Normal 7 2 8 2 2 2 2 3" xfId="20230"/>
    <cellStyle name="Normal 7 2 8 2 2 2 3" xfId="20231"/>
    <cellStyle name="Normal 7 2 8 2 2 2 3 2" xfId="20232"/>
    <cellStyle name="Normal 7 2 8 2 2 2 4" xfId="20233"/>
    <cellStyle name="Normal 7 2 8 2 2 3" xfId="20234"/>
    <cellStyle name="Normal 7 2 8 2 2 3 2" xfId="20235"/>
    <cellStyle name="Normal 7 2 8 2 2 3 2 2" xfId="20236"/>
    <cellStyle name="Normal 7 2 8 2 2 3 3" xfId="20237"/>
    <cellStyle name="Normal 7 2 8 2 2 4" xfId="20238"/>
    <cellStyle name="Normal 7 2 8 2 2 4 2" xfId="20239"/>
    <cellStyle name="Normal 7 2 8 2 2 4 3" xfId="20240"/>
    <cellStyle name="Normal 7 2 8 2 2 5" xfId="20241"/>
    <cellStyle name="Normal 7 2 8 2 2 5 2" xfId="20242"/>
    <cellStyle name="Normal 7 2 8 2 2 6" xfId="20243"/>
    <cellStyle name="Normal 7 2 8 2 2 6 2" xfId="36800"/>
    <cellStyle name="Normal 7 2 8 2 2 7" xfId="20244"/>
    <cellStyle name="Normal 7 2 8 2 3" xfId="20245"/>
    <cellStyle name="Normal 7 2 8 2 3 2" xfId="20246"/>
    <cellStyle name="Normal 7 2 8 2 3 2 2" xfId="20247"/>
    <cellStyle name="Normal 7 2 8 2 3 2 2 2" xfId="20248"/>
    <cellStyle name="Normal 7 2 8 2 3 2 3" xfId="20249"/>
    <cellStyle name="Normal 7 2 8 2 3 3" xfId="20250"/>
    <cellStyle name="Normal 7 2 8 2 3 3 2" xfId="20251"/>
    <cellStyle name="Normal 7 2 8 2 3 4" xfId="20252"/>
    <cellStyle name="Normal 7 2 8 2 4" xfId="20253"/>
    <cellStyle name="Normal 7 2 8 2 4 2" xfId="20254"/>
    <cellStyle name="Normal 7 2 8 2 4 2 2" xfId="20255"/>
    <cellStyle name="Normal 7 2 8 2 4 3" xfId="20256"/>
    <cellStyle name="Normal 7 2 8 2 5" xfId="20257"/>
    <cellStyle name="Normal 7 2 8 2 5 2" xfId="20258"/>
    <cellStyle name="Normal 7 2 8 2 5 2 2" xfId="20259"/>
    <cellStyle name="Normal 7 2 8 2 5 3" xfId="20260"/>
    <cellStyle name="Normal 7 2 8 2 6" xfId="20261"/>
    <cellStyle name="Normal 7 2 8 2 6 2" xfId="20262"/>
    <cellStyle name="Normal 7 2 8 2 7" xfId="20263"/>
    <cellStyle name="Normal 7 2 8 2 7 2" xfId="36801"/>
    <cellStyle name="Normal 7 2 8 2 8" xfId="20264"/>
    <cellStyle name="Normal 7 2 8 3" xfId="20265"/>
    <cellStyle name="Normal 7 2 8 3 2" xfId="20266"/>
    <cellStyle name="Normal 7 2 8 3 2 2" xfId="20267"/>
    <cellStyle name="Normal 7 2 8 3 2 2 2" xfId="20268"/>
    <cellStyle name="Normal 7 2 8 3 2 2 3" xfId="20269"/>
    <cellStyle name="Normal 7 2 8 3 2 3" xfId="20270"/>
    <cellStyle name="Normal 7 2 8 3 2 3 2" xfId="20271"/>
    <cellStyle name="Normal 7 2 8 3 2 4" xfId="20272"/>
    <cellStyle name="Normal 7 2 8 3 3" xfId="20273"/>
    <cellStyle name="Normal 7 2 8 3 3 2" xfId="20274"/>
    <cellStyle name="Normal 7 2 8 3 3 2 2" xfId="20275"/>
    <cellStyle name="Normal 7 2 8 3 3 3" xfId="20276"/>
    <cellStyle name="Normal 7 2 8 3 4" xfId="20277"/>
    <cellStyle name="Normal 7 2 8 3 4 2" xfId="20278"/>
    <cellStyle name="Normal 7 2 8 3 4 3" xfId="20279"/>
    <cellStyle name="Normal 7 2 8 3 5" xfId="20280"/>
    <cellStyle name="Normal 7 2 8 3 5 2" xfId="20281"/>
    <cellStyle name="Normal 7 2 8 3 6" xfId="20282"/>
    <cellStyle name="Normal 7 2 8 3 6 2" xfId="36802"/>
    <cellStyle name="Normal 7 2 8 3 7" xfId="20283"/>
    <cellStyle name="Normal 7 2 8 4" xfId="20284"/>
    <cellStyle name="Normal 7 2 8 4 2" xfId="20285"/>
    <cellStyle name="Normal 7 2 8 4 2 2" xfId="20286"/>
    <cellStyle name="Normal 7 2 8 4 2 2 2" xfId="20287"/>
    <cellStyle name="Normal 7 2 8 4 2 3" xfId="20288"/>
    <cellStyle name="Normal 7 2 8 4 3" xfId="20289"/>
    <cellStyle name="Normal 7 2 8 4 3 2" xfId="20290"/>
    <cellStyle name="Normal 7 2 8 4 4" xfId="20291"/>
    <cellStyle name="Normal 7 2 8 5" xfId="20292"/>
    <cellStyle name="Normal 7 2 8 5 2" xfId="20293"/>
    <cellStyle name="Normal 7 2 8 5 2 2" xfId="20294"/>
    <cellStyle name="Normal 7 2 8 5 3" xfId="20295"/>
    <cellStyle name="Normal 7 2 8 6" xfId="20296"/>
    <cellStyle name="Normal 7 2 8 6 2" xfId="20297"/>
    <cellStyle name="Normal 7 2 8 6 2 2" xfId="20298"/>
    <cellStyle name="Normal 7 2 8 6 3" xfId="20299"/>
    <cellStyle name="Normal 7 2 8 7" xfId="20300"/>
    <cellStyle name="Normal 7 2 8 7 2" xfId="20301"/>
    <cellStyle name="Normal 7 2 8 8" xfId="20302"/>
    <cellStyle name="Normal 7 2 8 8 2" xfId="36803"/>
    <cellStyle name="Normal 7 2 8 9" xfId="20303"/>
    <cellStyle name="Normal 7 2 9" xfId="20304"/>
    <cellStyle name="Normal 7 2 9 2" xfId="20305"/>
    <cellStyle name="Normal 7 2 9 2 2" xfId="20306"/>
    <cellStyle name="Normal 7 2 9 2 2 2" xfId="20307"/>
    <cellStyle name="Normal 7 2 9 2 2 2 2" xfId="20308"/>
    <cellStyle name="Normal 7 2 9 2 2 2 3" xfId="20309"/>
    <cellStyle name="Normal 7 2 9 2 2 3" xfId="20310"/>
    <cellStyle name="Normal 7 2 9 2 2 3 2" xfId="20311"/>
    <cellStyle name="Normal 7 2 9 2 2 4" xfId="20312"/>
    <cellStyle name="Normal 7 2 9 2 3" xfId="20313"/>
    <cellStyle name="Normal 7 2 9 2 3 2" xfId="20314"/>
    <cellStyle name="Normal 7 2 9 2 3 2 2" xfId="20315"/>
    <cellStyle name="Normal 7 2 9 2 3 3" xfId="20316"/>
    <cellStyle name="Normal 7 2 9 2 4" xfId="20317"/>
    <cellStyle name="Normal 7 2 9 2 4 2" xfId="20318"/>
    <cellStyle name="Normal 7 2 9 2 4 3" xfId="20319"/>
    <cellStyle name="Normal 7 2 9 2 5" xfId="20320"/>
    <cellStyle name="Normal 7 2 9 2 5 2" xfId="20321"/>
    <cellStyle name="Normal 7 2 9 2 6" xfId="20322"/>
    <cellStyle name="Normal 7 2 9 2 6 2" xfId="36804"/>
    <cellStyle name="Normal 7 2 9 2 7" xfId="20323"/>
    <cellStyle name="Normal 7 2 9 3" xfId="20324"/>
    <cellStyle name="Normal 7 2 9 3 2" xfId="20325"/>
    <cellStyle name="Normal 7 2 9 3 2 2" xfId="20326"/>
    <cellStyle name="Normal 7 2 9 3 2 2 2" xfId="20327"/>
    <cellStyle name="Normal 7 2 9 3 2 3" xfId="20328"/>
    <cellStyle name="Normal 7 2 9 3 3" xfId="20329"/>
    <cellStyle name="Normal 7 2 9 3 3 2" xfId="20330"/>
    <cellStyle name="Normal 7 2 9 3 4" xfId="20331"/>
    <cellStyle name="Normal 7 2 9 4" xfId="20332"/>
    <cellStyle name="Normal 7 2 9 4 2" xfId="20333"/>
    <cellStyle name="Normal 7 2 9 4 2 2" xfId="20334"/>
    <cellStyle name="Normal 7 2 9 4 3" xfId="20335"/>
    <cellStyle name="Normal 7 2 9 5" xfId="20336"/>
    <cellStyle name="Normal 7 2 9 5 2" xfId="20337"/>
    <cellStyle name="Normal 7 2 9 5 2 2" xfId="20338"/>
    <cellStyle name="Normal 7 2 9 5 3" xfId="20339"/>
    <cellStyle name="Normal 7 2 9 6" xfId="20340"/>
    <cellStyle name="Normal 7 2 9 6 2" xfId="20341"/>
    <cellStyle name="Normal 7 2 9 7" xfId="20342"/>
    <cellStyle name="Normal 7 2 9 7 2" xfId="36805"/>
    <cellStyle name="Normal 7 2 9 8" xfId="20343"/>
    <cellStyle name="Normal 7 3" xfId="20344"/>
    <cellStyle name="Normal 7 3 10" xfId="20345"/>
    <cellStyle name="Normal 7 3 10 2" xfId="20346"/>
    <cellStyle name="Normal 7 3 10 2 2" xfId="20347"/>
    <cellStyle name="Normal 7 3 10 3" xfId="20348"/>
    <cellStyle name="Normal 7 3 11" xfId="20349"/>
    <cellStyle name="Normal 7 3 11 2" xfId="20350"/>
    <cellStyle name="Normal 7 3 11 2 2" xfId="20351"/>
    <cellStyle name="Normal 7 3 11 3" xfId="20352"/>
    <cellStyle name="Normal 7 3 12" xfId="20353"/>
    <cellStyle name="Normal 7 3 12 2" xfId="20354"/>
    <cellStyle name="Normal 7 3 13" xfId="20355"/>
    <cellStyle name="Normal 7 3 13 2" xfId="36806"/>
    <cellStyle name="Normal 7 3 14" xfId="20356"/>
    <cellStyle name="Normal 7 3 2" xfId="20357"/>
    <cellStyle name="Normal 7 3 2 10" xfId="20358"/>
    <cellStyle name="Normal 7 3 2 2" xfId="20359"/>
    <cellStyle name="Normal 7 3 2 2 2" xfId="20360"/>
    <cellStyle name="Normal 7 3 2 2 2 2" xfId="20361"/>
    <cellStyle name="Normal 7 3 2 2 2 2 2" xfId="20362"/>
    <cellStyle name="Normal 7 3 2 2 2 2 2 2" xfId="20363"/>
    <cellStyle name="Normal 7 3 2 2 2 2 2 2 2" xfId="20364"/>
    <cellStyle name="Normal 7 3 2 2 2 2 2 2 3" xfId="20365"/>
    <cellStyle name="Normal 7 3 2 2 2 2 2 3" xfId="20366"/>
    <cellStyle name="Normal 7 3 2 2 2 2 2 3 2" xfId="20367"/>
    <cellStyle name="Normal 7 3 2 2 2 2 2 4" xfId="20368"/>
    <cellStyle name="Normal 7 3 2 2 2 2 3" xfId="20369"/>
    <cellStyle name="Normal 7 3 2 2 2 2 3 2" xfId="20370"/>
    <cellStyle name="Normal 7 3 2 2 2 2 3 2 2" xfId="20371"/>
    <cellStyle name="Normal 7 3 2 2 2 2 3 3" xfId="20372"/>
    <cellStyle name="Normal 7 3 2 2 2 2 4" xfId="20373"/>
    <cellStyle name="Normal 7 3 2 2 2 2 4 2" xfId="20374"/>
    <cellStyle name="Normal 7 3 2 2 2 2 4 3" xfId="20375"/>
    <cellStyle name="Normal 7 3 2 2 2 2 5" xfId="20376"/>
    <cellStyle name="Normal 7 3 2 2 2 2 5 2" xfId="20377"/>
    <cellStyle name="Normal 7 3 2 2 2 2 6" xfId="20378"/>
    <cellStyle name="Normal 7 3 2 2 2 2 6 2" xfId="36807"/>
    <cellStyle name="Normal 7 3 2 2 2 2 7" xfId="20379"/>
    <cellStyle name="Normal 7 3 2 2 2 3" xfId="20380"/>
    <cellStyle name="Normal 7 3 2 2 2 3 2" xfId="20381"/>
    <cellStyle name="Normal 7 3 2 2 2 3 2 2" xfId="20382"/>
    <cellStyle name="Normal 7 3 2 2 2 3 2 2 2" xfId="20383"/>
    <cellStyle name="Normal 7 3 2 2 2 3 2 3" xfId="20384"/>
    <cellStyle name="Normal 7 3 2 2 2 3 3" xfId="20385"/>
    <cellStyle name="Normal 7 3 2 2 2 3 3 2" xfId="20386"/>
    <cellStyle name="Normal 7 3 2 2 2 3 4" xfId="20387"/>
    <cellStyle name="Normal 7 3 2 2 2 4" xfId="20388"/>
    <cellStyle name="Normal 7 3 2 2 2 4 2" xfId="20389"/>
    <cellStyle name="Normal 7 3 2 2 2 4 2 2" xfId="20390"/>
    <cellStyle name="Normal 7 3 2 2 2 4 3" xfId="20391"/>
    <cellStyle name="Normal 7 3 2 2 2 5" xfId="20392"/>
    <cellStyle name="Normal 7 3 2 2 2 5 2" xfId="20393"/>
    <cellStyle name="Normal 7 3 2 2 2 5 2 2" xfId="20394"/>
    <cellStyle name="Normal 7 3 2 2 2 5 3" xfId="20395"/>
    <cellStyle name="Normal 7 3 2 2 2 6" xfId="20396"/>
    <cellStyle name="Normal 7 3 2 2 2 6 2" xfId="20397"/>
    <cellStyle name="Normal 7 3 2 2 2 7" xfId="20398"/>
    <cellStyle name="Normal 7 3 2 2 2 7 2" xfId="36808"/>
    <cellStyle name="Normal 7 3 2 2 2 8" xfId="20399"/>
    <cellStyle name="Normal 7 3 2 2 3" xfId="20400"/>
    <cellStyle name="Normal 7 3 2 2 3 2" xfId="20401"/>
    <cellStyle name="Normal 7 3 2 2 3 2 2" xfId="20402"/>
    <cellStyle name="Normal 7 3 2 2 3 2 2 2" xfId="20403"/>
    <cellStyle name="Normal 7 3 2 2 3 2 2 3" xfId="20404"/>
    <cellStyle name="Normal 7 3 2 2 3 2 3" xfId="20405"/>
    <cellStyle name="Normal 7 3 2 2 3 2 3 2" xfId="20406"/>
    <cellStyle name="Normal 7 3 2 2 3 2 4" xfId="20407"/>
    <cellStyle name="Normal 7 3 2 2 3 3" xfId="20408"/>
    <cellStyle name="Normal 7 3 2 2 3 3 2" xfId="20409"/>
    <cellStyle name="Normal 7 3 2 2 3 3 2 2" xfId="20410"/>
    <cellStyle name="Normal 7 3 2 2 3 3 3" xfId="20411"/>
    <cellStyle name="Normal 7 3 2 2 3 4" xfId="20412"/>
    <cellStyle name="Normal 7 3 2 2 3 4 2" xfId="20413"/>
    <cellStyle name="Normal 7 3 2 2 3 4 3" xfId="20414"/>
    <cellStyle name="Normal 7 3 2 2 3 5" xfId="20415"/>
    <cellStyle name="Normal 7 3 2 2 3 5 2" xfId="20416"/>
    <cellStyle name="Normal 7 3 2 2 3 6" xfId="20417"/>
    <cellStyle name="Normal 7 3 2 2 3 6 2" xfId="36809"/>
    <cellStyle name="Normal 7 3 2 2 3 7" xfId="20418"/>
    <cellStyle name="Normal 7 3 2 2 4" xfId="20419"/>
    <cellStyle name="Normal 7 3 2 2 4 2" xfId="20420"/>
    <cellStyle name="Normal 7 3 2 2 4 2 2" xfId="20421"/>
    <cellStyle name="Normal 7 3 2 2 4 2 2 2" xfId="20422"/>
    <cellStyle name="Normal 7 3 2 2 4 2 3" xfId="20423"/>
    <cellStyle name="Normal 7 3 2 2 4 3" xfId="20424"/>
    <cellStyle name="Normal 7 3 2 2 4 3 2" xfId="20425"/>
    <cellStyle name="Normal 7 3 2 2 4 4" xfId="20426"/>
    <cellStyle name="Normal 7 3 2 2 5" xfId="20427"/>
    <cellStyle name="Normal 7 3 2 2 5 2" xfId="20428"/>
    <cellStyle name="Normal 7 3 2 2 5 2 2" xfId="20429"/>
    <cellStyle name="Normal 7 3 2 2 5 3" xfId="20430"/>
    <cellStyle name="Normal 7 3 2 2 6" xfId="20431"/>
    <cellStyle name="Normal 7 3 2 2 6 2" xfId="20432"/>
    <cellStyle name="Normal 7 3 2 2 6 2 2" xfId="20433"/>
    <cellStyle name="Normal 7 3 2 2 6 3" xfId="20434"/>
    <cellStyle name="Normal 7 3 2 2 7" xfId="20435"/>
    <cellStyle name="Normal 7 3 2 2 7 2" xfId="20436"/>
    <cellStyle name="Normal 7 3 2 2 8" xfId="20437"/>
    <cellStyle name="Normal 7 3 2 2 8 2" xfId="36810"/>
    <cellStyle name="Normal 7 3 2 2 9" xfId="20438"/>
    <cellStyle name="Normal 7 3 2 3" xfId="20439"/>
    <cellStyle name="Normal 7 3 2 3 2" xfId="20440"/>
    <cellStyle name="Normal 7 3 2 3 2 2" xfId="20441"/>
    <cellStyle name="Normal 7 3 2 3 2 2 2" xfId="20442"/>
    <cellStyle name="Normal 7 3 2 3 2 2 2 2" xfId="20443"/>
    <cellStyle name="Normal 7 3 2 3 2 2 2 3" xfId="20444"/>
    <cellStyle name="Normal 7 3 2 3 2 2 3" xfId="20445"/>
    <cellStyle name="Normal 7 3 2 3 2 2 3 2" xfId="20446"/>
    <cellStyle name="Normal 7 3 2 3 2 2 4" xfId="20447"/>
    <cellStyle name="Normal 7 3 2 3 2 3" xfId="20448"/>
    <cellStyle name="Normal 7 3 2 3 2 3 2" xfId="20449"/>
    <cellStyle name="Normal 7 3 2 3 2 3 2 2" xfId="20450"/>
    <cellStyle name="Normal 7 3 2 3 2 3 3" xfId="20451"/>
    <cellStyle name="Normal 7 3 2 3 2 4" xfId="20452"/>
    <cellStyle name="Normal 7 3 2 3 2 4 2" xfId="20453"/>
    <cellStyle name="Normal 7 3 2 3 2 4 3" xfId="20454"/>
    <cellStyle name="Normal 7 3 2 3 2 5" xfId="20455"/>
    <cellStyle name="Normal 7 3 2 3 2 5 2" xfId="20456"/>
    <cellStyle name="Normal 7 3 2 3 2 6" xfId="20457"/>
    <cellStyle name="Normal 7 3 2 3 2 6 2" xfId="36811"/>
    <cellStyle name="Normal 7 3 2 3 2 7" xfId="20458"/>
    <cellStyle name="Normal 7 3 2 3 3" xfId="20459"/>
    <cellStyle name="Normal 7 3 2 3 3 2" xfId="20460"/>
    <cellStyle name="Normal 7 3 2 3 3 2 2" xfId="20461"/>
    <cellStyle name="Normal 7 3 2 3 3 2 2 2" xfId="20462"/>
    <cellStyle name="Normal 7 3 2 3 3 2 3" xfId="20463"/>
    <cellStyle name="Normal 7 3 2 3 3 3" xfId="20464"/>
    <cellStyle name="Normal 7 3 2 3 3 3 2" xfId="20465"/>
    <cellStyle name="Normal 7 3 2 3 3 4" xfId="20466"/>
    <cellStyle name="Normal 7 3 2 3 4" xfId="20467"/>
    <cellStyle name="Normal 7 3 2 3 4 2" xfId="20468"/>
    <cellStyle name="Normal 7 3 2 3 4 2 2" xfId="20469"/>
    <cellStyle name="Normal 7 3 2 3 4 3" xfId="20470"/>
    <cellStyle name="Normal 7 3 2 3 5" xfId="20471"/>
    <cellStyle name="Normal 7 3 2 3 5 2" xfId="20472"/>
    <cellStyle name="Normal 7 3 2 3 5 2 2" xfId="20473"/>
    <cellStyle name="Normal 7 3 2 3 5 3" xfId="20474"/>
    <cellStyle name="Normal 7 3 2 3 6" xfId="20475"/>
    <cellStyle name="Normal 7 3 2 3 6 2" xfId="20476"/>
    <cellStyle name="Normal 7 3 2 3 7" xfId="20477"/>
    <cellStyle name="Normal 7 3 2 3 7 2" xfId="36812"/>
    <cellStyle name="Normal 7 3 2 3 8" xfId="20478"/>
    <cellStyle name="Normal 7 3 2 4" xfId="20479"/>
    <cellStyle name="Normal 7 3 2 4 2" xfId="20480"/>
    <cellStyle name="Normal 7 3 2 4 2 2" xfId="20481"/>
    <cellStyle name="Normal 7 3 2 4 2 2 2" xfId="20482"/>
    <cellStyle name="Normal 7 3 2 4 2 2 3" xfId="20483"/>
    <cellStyle name="Normal 7 3 2 4 2 3" xfId="20484"/>
    <cellStyle name="Normal 7 3 2 4 2 3 2" xfId="20485"/>
    <cellStyle name="Normal 7 3 2 4 2 4" xfId="20486"/>
    <cellStyle name="Normal 7 3 2 4 3" xfId="20487"/>
    <cellStyle name="Normal 7 3 2 4 3 2" xfId="20488"/>
    <cellStyle name="Normal 7 3 2 4 3 2 2" xfId="20489"/>
    <cellStyle name="Normal 7 3 2 4 3 3" xfId="20490"/>
    <cellStyle name="Normal 7 3 2 4 4" xfId="20491"/>
    <cellStyle name="Normal 7 3 2 4 4 2" xfId="20492"/>
    <cellStyle name="Normal 7 3 2 4 4 3" xfId="20493"/>
    <cellStyle name="Normal 7 3 2 4 5" xfId="20494"/>
    <cellStyle name="Normal 7 3 2 4 5 2" xfId="20495"/>
    <cellStyle name="Normal 7 3 2 4 6" xfId="20496"/>
    <cellStyle name="Normal 7 3 2 4 6 2" xfId="36813"/>
    <cellStyle name="Normal 7 3 2 4 7" xfId="20497"/>
    <cellStyle name="Normal 7 3 2 5" xfId="20498"/>
    <cellStyle name="Normal 7 3 2 5 2" xfId="20499"/>
    <cellStyle name="Normal 7 3 2 5 2 2" xfId="20500"/>
    <cellStyle name="Normal 7 3 2 5 2 2 2" xfId="20501"/>
    <cellStyle name="Normal 7 3 2 5 2 3" xfId="20502"/>
    <cellStyle name="Normal 7 3 2 5 3" xfId="20503"/>
    <cellStyle name="Normal 7 3 2 5 3 2" xfId="20504"/>
    <cellStyle name="Normal 7 3 2 5 4" xfId="20505"/>
    <cellStyle name="Normal 7 3 2 6" xfId="20506"/>
    <cellStyle name="Normal 7 3 2 6 2" xfId="20507"/>
    <cellStyle name="Normal 7 3 2 6 2 2" xfId="20508"/>
    <cellStyle name="Normal 7 3 2 6 3" xfId="20509"/>
    <cellStyle name="Normal 7 3 2 7" xfId="20510"/>
    <cellStyle name="Normal 7 3 2 7 2" xfId="20511"/>
    <cellStyle name="Normal 7 3 2 7 2 2" xfId="20512"/>
    <cellStyle name="Normal 7 3 2 7 3" xfId="20513"/>
    <cellStyle name="Normal 7 3 2 8" xfId="20514"/>
    <cellStyle name="Normal 7 3 2 8 2" xfId="20515"/>
    <cellStyle name="Normal 7 3 2 9" xfId="20516"/>
    <cellStyle name="Normal 7 3 2 9 2" xfId="36814"/>
    <cellStyle name="Normal 7 3 3" xfId="20517"/>
    <cellStyle name="Normal 7 3 3 2" xfId="20518"/>
    <cellStyle name="Normal 7 3 3 2 2" xfId="20519"/>
    <cellStyle name="Normal 7 3 3 2 2 2" xfId="20520"/>
    <cellStyle name="Normal 7 3 3 2 2 2 2" xfId="20521"/>
    <cellStyle name="Normal 7 3 3 2 2 2 2 2" xfId="20522"/>
    <cellStyle name="Normal 7 3 3 2 2 2 2 3" xfId="20523"/>
    <cellStyle name="Normal 7 3 3 2 2 2 3" xfId="20524"/>
    <cellStyle name="Normal 7 3 3 2 2 2 3 2" xfId="20525"/>
    <cellStyle name="Normal 7 3 3 2 2 2 4" xfId="20526"/>
    <cellStyle name="Normal 7 3 3 2 2 3" xfId="20527"/>
    <cellStyle name="Normal 7 3 3 2 2 3 2" xfId="20528"/>
    <cellStyle name="Normal 7 3 3 2 2 3 2 2" xfId="20529"/>
    <cellStyle name="Normal 7 3 3 2 2 3 3" xfId="20530"/>
    <cellStyle name="Normal 7 3 3 2 2 4" xfId="20531"/>
    <cellStyle name="Normal 7 3 3 2 2 4 2" xfId="20532"/>
    <cellStyle name="Normal 7 3 3 2 2 4 3" xfId="20533"/>
    <cellStyle name="Normal 7 3 3 2 2 5" xfId="20534"/>
    <cellStyle name="Normal 7 3 3 2 2 5 2" xfId="20535"/>
    <cellStyle name="Normal 7 3 3 2 2 6" xfId="20536"/>
    <cellStyle name="Normal 7 3 3 2 2 6 2" xfId="36815"/>
    <cellStyle name="Normal 7 3 3 2 2 7" xfId="20537"/>
    <cellStyle name="Normal 7 3 3 2 3" xfId="20538"/>
    <cellStyle name="Normal 7 3 3 2 3 2" xfId="20539"/>
    <cellStyle name="Normal 7 3 3 2 3 2 2" xfId="20540"/>
    <cellStyle name="Normal 7 3 3 2 3 2 2 2" xfId="20541"/>
    <cellStyle name="Normal 7 3 3 2 3 2 3" xfId="20542"/>
    <cellStyle name="Normal 7 3 3 2 3 3" xfId="20543"/>
    <cellStyle name="Normal 7 3 3 2 3 3 2" xfId="20544"/>
    <cellStyle name="Normal 7 3 3 2 3 4" xfId="20545"/>
    <cellStyle name="Normal 7 3 3 2 4" xfId="20546"/>
    <cellStyle name="Normal 7 3 3 2 4 2" xfId="20547"/>
    <cellStyle name="Normal 7 3 3 2 4 2 2" xfId="20548"/>
    <cellStyle name="Normal 7 3 3 2 4 3" xfId="20549"/>
    <cellStyle name="Normal 7 3 3 2 5" xfId="20550"/>
    <cellStyle name="Normal 7 3 3 2 5 2" xfId="20551"/>
    <cellStyle name="Normal 7 3 3 2 5 2 2" xfId="20552"/>
    <cellStyle name="Normal 7 3 3 2 5 3" xfId="20553"/>
    <cellStyle name="Normal 7 3 3 2 6" xfId="20554"/>
    <cellStyle name="Normal 7 3 3 2 6 2" xfId="20555"/>
    <cellStyle name="Normal 7 3 3 2 7" xfId="20556"/>
    <cellStyle name="Normal 7 3 3 2 7 2" xfId="36816"/>
    <cellStyle name="Normal 7 3 3 2 8" xfId="20557"/>
    <cellStyle name="Normal 7 3 3 3" xfId="20558"/>
    <cellStyle name="Normal 7 3 3 3 2" xfId="20559"/>
    <cellStyle name="Normal 7 3 3 3 2 2" xfId="20560"/>
    <cellStyle name="Normal 7 3 3 3 2 2 2" xfId="20561"/>
    <cellStyle name="Normal 7 3 3 3 2 2 3" xfId="20562"/>
    <cellStyle name="Normal 7 3 3 3 2 3" xfId="20563"/>
    <cellStyle name="Normal 7 3 3 3 2 3 2" xfId="20564"/>
    <cellStyle name="Normal 7 3 3 3 2 4" xfId="20565"/>
    <cellStyle name="Normal 7 3 3 3 3" xfId="20566"/>
    <cellStyle name="Normal 7 3 3 3 3 2" xfId="20567"/>
    <cellStyle name="Normal 7 3 3 3 3 2 2" xfId="20568"/>
    <cellStyle name="Normal 7 3 3 3 3 3" xfId="20569"/>
    <cellStyle name="Normal 7 3 3 3 4" xfId="20570"/>
    <cellStyle name="Normal 7 3 3 3 4 2" xfId="20571"/>
    <cellStyle name="Normal 7 3 3 3 4 3" xfId="20572"/>
    <cellStyle name="Normal 7 3 3 3 5" xfId="20573"/>
    <cellStyle name="Normal 7 3 3 3 5 2" xfId="20574"/>
    <cellStyle name="Normal 7 3 3 3 6" xfId="20575"/>
    <cellStyle name="Normal 7 3 3 3 6 2" xfId="36817"/>
    <cellStyle name="Normal 7 3 3 3 7" xfId="20576"/>
    <cellStyle name="Normal 7 3 3 4" xfId="20577"/>
    <cellStyle name="Normal 7 3 3 4 2" xfId="20578"/>
    <cellStyle name="Normal 7 3 3 4 2 2" xfId="20579"/>
    <cellStyle name="Normal 7 3 3 4 2 2 2" xfId="20580"/>
    <cellStyle name="Normal 7 3 3 4 2 3" xfId="20581"/>
    <cellStyle name="Normal 7 3 3 4 3" xfId="20582"/>
    <cellStyle name="Normal 7 3 3 4 3 2" xfId="20583"/>
    <cellStyle name="Normal 7 3 3 4 4" xfId="20584"/>
    <cellStyle name="Normal 7 3 3 5" xfId="20585"/>
    <cellStyle name="Normal 7 3 3 5 2" xfId="20586"/>
    <cellStyle name="Normal 7 3 3 5 2 2" xfId="20587"/>
    <cellStyle name="Normal 7 3 3 5 3" xfId="20588"/>
    <cellStyle name="Normal 7 3 3 6" xfId="20589"/>
    <cellStyle name="Normal 7 3 3 6 2" xfId="20590"/>
    <cellStyle name="Normal 7 3 3 6 2 2" xfId="20591"/>
    <cellStyle name="Normal 7 3 3 6 3" xfId="20592"/>
    <cellStyle name="Normal 7 3 3 7" xfId="20593"/>
    <cellStyle name="Normal 7 3 3 7 2" xfId="20594"/>
    <cellStyle name="Normal 7 3 3 8" xfId="20595"/>
    <cellStyle name="Normal 7 3 3 8 2" xfId="36818"/>
    <cellStyle name="Normal 7 3 3 9" xfId="20596"/>
    <cellStyle name="Normal 7 3 4" xfId="20597"/>
    <cellStyle name="Normal 7 3 4 2" xfId="20598"/>
    <cellStyle name="Normal 7 3 4 2 2" xfId="20599"/>
    <cellStyle name="Normal 7 3 4 2 2 2" xfId="20600"/>
    <cellStyle name="Normal 7 3 4 2 2 2 2" xfId="20601"/>
    <cellStyle name="Normal 7 3 4 2 2 2 2 2" xfId="20602"/>
    <cellStyle name="Normal 7 3 4 2 2 2 2 3" xfId="20603"/>
    <cellStyle name="Normal 7 3 4 2 2 2 3" xfId="20604"/>
    <cellStyle name="Normal 7 3 4 2 2 2 3 2" xfId="20605"/>
    <cellStyle name="Normal 7 3 4 2 2 2 4" xfId="20606"/>
    <cellStyle name="Normal 7 3 4 2 2 3" xfId="20607"/>
    <cellStyle name="Normal 7 3 4 2 2 3 2" xfId="20608"/>
    <cellStyle name="Normal 7 3 4 2 2 3 2 2" xfId="20609"/>
    <cellStyle name="Normal 7 3 4 2 2 3 3" xfId="20610"/>
    <cellStyle name="Normal 7 3 4 2 2 4" xfId="20611"/>
    <cellStyle name="Normal 7 3 4 2 2 4 2" xfId="20612"/>
    <cellStyle name="Normal 7 3 4 2 2 4 3" xfId="20613"/>
    <cellStyle name="Normal 7 3 4 2 2 5" xfId="20614"/>
    <cellStyle name="Normal 7 3 4 2 2 5 2" xfId="20615"/>
    <cellStyle name="Normal 7 3 4 2 2 6" xfId="20616"/>
    <cellStyle name="Normal 7 3 4 2 2 6 2" xfId="36819"/>
    <cellStyle name="Normal 7 3 4 2 2 7" xfId="20617"/>
    <cellStyle name="Normal 7 3 4 2 3" xfId="20618"/>
    <cellStyle name="Normal 7 3 4 2 3 2" xfId="20619"/>
    <cellStyle name="Normal 7 3 4 2 3 2 2" xfId="20620"/>
    <cellStyle name="Normal 7 3 4 2 3 2 2 2" xfId="20621"/>
    <cellStyle name="Normal 7 3 4 2 3 2 3" xfId="20622"/>
    <cellStyle name="Normal 7 3 4 2 3 3" xfId="20623"/>
    <cellStyle name="Normal 7 3 4 2 3 3 2" xfId="20624"/>
    <cellStyle name="Normal 7 3 4 2 3 4" xfId="20625"/>
    <cellStyle name="Normal 7 3 4 2 4" xfId="20626"/>
    <cellStyle name="Normal 7 3 4 2 4 2" xfId="20627"/>
    <cellStyle name="Normal 7 3 4 2 4 2 2" xfId="20628"/>
    <cellStyle name="Normal 7 3 4 2 4 3" xfId="20629"/>
    <cellStyle name="Normal 7 3 4 2 5" xfId="20630"/>
    <cellStyle name="Normal 7 3 4 2 5 2" xfId="20631"/>
    <cellStyle name="Normal 7 3 4 2 5 2 2" xfId="20632"/>
    <cellStyle name="Normal 7 3 4 2 5 3" xfId="20633"/>
    <cellStyle name="Normal 7 3 4 2 6" xfId="20634"/>
    <cellStyle name="Normal 7 3 4 2 6 2" xfId="20635"/>
    <cellStyle name="Normal 7 3 4 2 7" xfId="20636"/>
    <cellStyle name="Normal 7 3 4 2 7 2" xfId="36820"/>
    <cellStyle name="Normal 7 3 4 2 8" xfId="20637"/>
    <cellStyle name="Normal 7 3 4 3" xfId="20638"/>
    <cellStyle name="Normal 7 3 4 3 2" xfId="20639"/>
    <cellStyle name="Normal 7 3 4 3 2 2" xfId="20640"/>
    <cellStyle name="Normal 7 3 4 3 2 2 2" xfId="20641"/>
    <cellStyle name="Normal 7 3 4 3 2 2 3" xfId="20642"/>
    <cellStyle name="Normal 7 3 4 3 2 3" xfId="20643"/>
    <cellStyle name="Normal 7 3 4 3 2 3 2" xfId="20644"/>
    <cellStyle name="Normal 7 3 4 3 2 4" xfId="20645"/>
    <cellStyle name="Normal 7 3 4 3 3" xfId="20646"/>
    <cellStyle name="Normal 7 3 4 3 3 2" xfId="20647"/>
    <cellStyle name="Normal 7 3 4 3 3 2 2" xfId="20648"/>
    <cellStyle name="Normal 7 3 4 3 3 3" xfId="20649"/>
    <cellStyle name="Normal 7 3 4 3 4" xfId="20650"/>
    <cellStyle name="Normal 7 3 4 3 4 2" xfId="20651"/>
    <cellStyle name="Normal 7 3 4 3 4 3" xfId="20652"/>
    <cellStyle name="Normal 7 3 4 3 5" xfId="20653"/>
    <cellStyle name="Normal 7 3 4 3 5 2" xfId="20654"/>
    <cellStyle name="Normal 7 3 4 3 6" xfId="20655"/>
    <cellStyle name="Normal 7 3 4 3 6 2" xfId="36821"/>
    <cellStyle name="Normal 7 3 4 3 7" xfId="20656"/>
    <cellStyle name="Normal 7 3 4 4" xfId="20657"/>
    <cellStyle name="Normal 7 3 4 4 2" xfId="20658"/>
    <cellStyle name="Normal 7 3 4 4 2 2" xfId="20659"/>
    <cellStyle name="Normal 7 3 4 4 2 2 2" xfId="20660"/>
    <cellStyle name="Normal 7 3 4 4 2 3" xfId="20661"/>
    <cellStyle name="Normal 7 3 4 4 3" xfId="20662"/>
    <cellStyle name="Normal 7 3 4 4 3 2" xfId="20663"/>
    <cellStyle name="Normal 7 3 4 4 4" xfId="20664"/>
    <cellStyle name="Normal 7 3 4 5" xfId="20665"/>
    <cellStyle name="Normal 7 3 4 5 2" xfId="20666"/>
    <cellStyle name="Normal 7 3 4 5 2 2" xfId="20667"/>
    <cellStyle name="Normal 7 3 4 5 3" xfId="20668"/>
    <cellStyle name="Normal 7 3 4 6" xfId="20669"/>
    <cellStyle name="Normal 7 3 4 6 2" xfId="20670"/>
    <cellStyle name="Normal 7 3 4 6 2 2" xfId="20671"/>
    <cellStyle name="Normal 7 3 4 6 3" xfId="20672"/>
    <cellStyle name="Normal 7 3 4 7" xfId="20673"/>
    <cellStyle name="Normal 7 3 4 7 2" xfId="20674"/>
    <cellStyle name="Normal 7 3 4 8" xfId="20675"/>
    <cellStyle name="Normal 7 3 4 8 2" xfId="36822"/>
    <cellStyle name="Normal 7 3 4 9" xfId="20676"/>
    <cellStyle name="Normal 7 3 5" xfId="20677"/>
    <cellStyle name="Normal 7 3 5 2" xfId="20678"/>
    <cellStyle name="Normal 7 3 5 2 2" xfId="20679"/>
    <cellStyle name="Normal 7 3 5 2 2 2" xfId="20680"/>
    <cellStyle name="Normal 7 3 5 2 2 2 2" xfId="20681"/>
    <cellStyle name="Normal 7 3 5 2 2 2 3" xfId="20682"/>
    <cellStyle name="Normal 7 3 5 2 2 3" xfId="20683"/>
    <cellStyle name="Normal 7 3 5 2 2 3 2" xfId="20684"/>
    <cellStyle name="Normal 7 3 5 2 2 4" xfId="20685"/>
    <cellStyle name="Normal 7 3 5 2 3" xfId="20686"/>
    <cellStyle name="Normal 7 3 5 2 3 2" xfId="20687"/>
    <cellStyle name="Normal 7 3 5 2 3 2 2" xfId="20688"/>
    <cellStyle name="Normal 7 3 5 2 3 3" xfId="20689"/>
    <cellStyle name="Normal 7 3 5 2 4" xfId="20690"/>
    <cellStyle name="Normal 7 3 5 2 4 2" xfId="20691"/>
    <cellStyle name="Normal 7 3 5 2 4 3" xfId="20692"/>
    <cellStyle name="Normal 7 3 5 2 5" xfId="20693"/>
    <cellStyle name="Normal 7 3 5 2 5 2" xfId="20694"/>
    <cellStyle name="Normal 7 3 5 2 6" xfId="20695"/>
    <cellStyle name="Normal 7 3 5 2 6 2" xfId="36823"/>
    <cellStyle name="Normal 7 3 5 2 7" xfId="20696"/>
    <cellStyle name="Normal 7 3 5 3" xfId="20697"/>
    <cellStyle name="Normal 7 3 5 3 2" xfId="20698"/>
    <cellStyle name="Normal 7 3 5 3 2 2" xfId="20699"/>
    <cellStyle name="Normal 7 3 5 3 2 2 2" xfId="20700"/>
    <cellStyle name="Normal 7 3 5 3 2 3" xfId="20701"/>
    <cellStyle name="Normal 7 3 5 3 3" xfId="20702"/>
    <cellStyle name="Normal 7 3 5 3 3 2" xfId="20703"/>
    <cellStyle name="Normal 7 3 5 3 4" xfId="20704"/>
    <cellStyle name="Normal 7 3 5 4" xfId="20705"/>
    <cellStyle name="Normal 7 3 5 4 2" xfId="20706"/>
    <cellStyle name="Normal 7 3 5 4 2 2" xfId="20707"/>
    <cellStyle name="Normal 7 3 5 4 3" xfId="20708"/>
    <cellStyle name="Normal 7 3 5 5" xfId="20709"/>
    <cellStyle name="Normal 7 3 5 5 2" xfId="20710"/>
    <cellStyle name="Normal 7 3 5 5 2 2" xfId="20711"/>
    <cellStyle name="Normal 7 3 5 5 3" xfId="20712"/>
    <cellStyle name="Normal 7 3 5 6" xfId="20713"/>
    <cellStyle name="Normal 7 3 5 6 2" xfId="20714"/>
    <cellStyle name="Normal 7 3 5 7" xfId="20715"/>
    <cellStyle name="Normal 7 3 5 7 2" xfId="36824"/>
    <cellStyle name="Normal 7 3 5 8" xfId="20716"/>
    <cellStyle name="Normal 7 3 6" xfId="20717"/>
    <cellStyle name="Normal 7 3 6 2" xfId="20718"/>
    <cellStyle name="Normal 7 3 6 2 2" xfId="20719"/>
    <cellStyle name="Normal 7 3 6 2 2 2" xfId="20720"/>
    <cellStyle name="Normal 7 3 6 2 2 2 2" xfId="20721"/>
    <cellStyle name="Normal 7 3 6 2 2 2 3" xfId="20722"/>
    <cellStyle name="Normal 7 3 6 2 2 3" xfId="20723"/>
    <cellStyle name="Normal 7 3 6 2 2 3 2" xfId="20724"/>
    <cellStyle name="Normal 7 3 6 2 2 4" xfId="20725"/>
    <cellStyle name="Normal 7 3 6 2 3" xfId="20726"/>
    <cellStyle name="Normal 7 3 6 2 3 2" xfId="20727"/>
    <cellStyle name="Normal 7 3 6 2 3 2 2" xfId="20728"/>
    <cellStyle name="Normal 7 3 6 2 3 3" xfId="20729"/>
    <cellStyle name="Normal 7 3 6 2 4" xfId="20730"/>
    <cellStyle name="Normal 7 3 6 2 4 2" xfId="20731"/>
    <cellStyle name="Normal 7 3 6 2 4 3" xfId="20732"/>
    <cellStyle name="Normal 7 3 6 2 5" xfId="20733"/>
    <cellStyle name="Normal 7 3 6 2 5 2" xfId="20734"/>
    <cellStyle name="Normal 7 3 6 2 6" xfId="20735"/>
    <cellStyle name="Normal 7 3 6 2 6 2" xfId="36825"/>
    <cellStyle name="Normal 7 3 6 2 7" xfId="20736"/>
    <cellStyle name="Normal 7 3 6 3" xfId="20737"/>
    <cellStyle name="Normal 7 3 6 3 2" xfId="20738"/>
    <cellStyle name="Normal 7 3 6 3 2 2" xfId="20739"/>
    <cellStyle name="Normal 7 3 6 3 2 2 2" xfId="20740"/>
    <cellStyle name="Normal 7 3 6 3 2 3" xfId="20741"/>
    <cellStyle name="Normal 7 3 6 3 3" xfId="20742"/>
    <cellStyle name="Normal 7 3 6 3 3 2" xfId="20743"/>
    <cellStyle name="Normal 7 3 6 3 4" xfId="20744"/>
    <cellStyle name="Normal 7 3 6 4" xfId="20745"/>
    <cellStyle name="Normal 7 3 6 4 2" xfId="20746"/>
    <cellStyle name="Normal 7 3 6 4 2 2" xfId="20747"/>
    <cellStyle name="Normal 7 3 6 4 3" xfId="20748"/>
    <cellStyle name="Normal 7 3 6 5" xfId="20749"/>
    <cellStyle name="Normal 7 3 6 5 2" xfId="20750"/>
    <cellStyle name="Normal 7 3 6 5 2 2" xfId="20751"/>
    <cellStyle name="Normal 7 3 6 5 3" xfId="20752"/>
    <cellStyle name="Normal 7 3 6 6" xfId="20753"/>
    <cellStyle name="Normal 7 3 6 6 2" xfId="20754"/>
    <cellStyle name="Normal 7 3 6 7" xfId="20755"/>
    <cellStyle name="Normal 7 3 6 7 2" xfId="36826"/>
    <cellStyle name="Normal 7 3 6 8" xfId="20756"/>
    <cellStyle name="Normal 7 3 7" xfId="20757"/>
    <cellStyle name="Normal 7 3 7 2" xfId="20758"/>
    <cellStyle name="Normal 7 3 7 2 2" xfId="20759"/>
    <cellStyle name="Normal 7 3 7 2 2 2" xfId="20760"/>
    <cellStyle name="Normal 7 3 7 2 2 2 2" xfId="20761"/>
    <cellStyle name="Normal 7 3 7 2 2 2 3" xfId="20762"/>
    <cellStyle name="Normal 7 3 7 2 2 3" xfId="20763"/>
    <cellStyle name="Normal 7 3 7 2 2 3 2" xfId="20764"/>
    <cellStyle name="Normal 7 3 7 2 2 4" xfId="20765"/>
    <cellStyle name="Normal 7 3 7 2 3" xfId="20766"/>
    <cellStyle name="Normal 7 3 7 2 3 2" xfId="20767"/>
    <cellStyle name="Normal 7 3 7 2 3 2 2" xfId="20768"/>
    <cellStyle name="Normal 7 3 7 2 3 3" xfId="20769"/>
    <cellStyle name="Normal 7 3 7 2 4" xfId="20770"/>
    <cellStyle name="Normal 7 3 7 2 4 2" xfId="20771"/>
    <cellStyle name="Normal 7 3 7 2 4 3" xfId="20772"/>
    <cellStyle name="Normal 7 3 7 2 5" xfId="20773"/>
    <cellStyle name="Normal 7 3 7 2 5 2" xfId="20774"/>
    <cellStyle name="Normal 7 3 7 2 6" xfId="20775"/>
    <cellStyle name="Normal 7 3 7 2 6 2" xfId="36827"/>
    <cellStyle name="Normal 7 3 7 2 7" xfId="20776"/>
    <cellStyle name="Normal 7 3 7 3" xfId="20777"/>
    <cellStyle name="Normal 7 3 7 3 2" xfId="20778"/>
    <cellStyle name="Normal 7 3 7 3 2 2" xfId="20779"/>
    <cellStyle name="Normal 7 3 7 3 2 2 2" xfId="20780"/>
    <cellStyle name="Normal 7 3 7 3 2 3" xfId="20781"/>
    <cellStyle name="Normal 7 3 7 3 3" xfId="20782"/>
    <cellStyle name="Normal 7 3 7 3 3 2" xfId="20783"/>
    <cellStyle name="Normal 7 3 7 3 4" xfId="20784"/>
    <cellStyle name="Normal 7 3 7 4" xfId="20785"/>
    <cellStyle name="Normal 7 3 7 4 2" xfId="20786"/>
    <cellStyle name="Normal 7 3 7 4 2 2" xfId="20787"/>
    <cellStyle name="Normal 7 3 7 4 3" xfId="20788"/>
    <cellStyle name="Normal 7 3 7 5" xfId="20789"/>
    <cellStyle name="Normal 7 3 7 5 2" xfId="20790"/>
    <cellStyle name="Normal 7 3 7 5 2 2" xfId="20791"/>
    <cellStyle name="Normal 7 3 7 5 3" xfId="20792"/>
    <cellStyle name="Normal 7 3 7 6" xfId="20793"/>
    <cellStyle name="Normal 7 3 7 6 2" xfId="20794"/>
    <cellStyle name="Normal 7 3 7 7" xfId="20795"/>
    <cellStyle name="Normal 7 3 7 7 2" xfId="36828"/>
    <cellStyle name="Normal 7 3 7 8" xfId="20796"/>
    <cellStyle name="Normal 7 3 8" xfId="20797"/>
    <cellStyle name="Normal 7 3 8 2" xfId="20798"/>
    <cellStyle name="Normal 7 3 8 2 2" xfId="20799"/>
    <cellStyle name="Normal 7 3 8 2 2 2" xfId="20800"/>
    <cellStyle name="Normal 7 3 8 2 2 3" xfId="20801"/>
    <cellStyle name="Normal 7 3 8 2 3" xfId="20802"/>
    <cellStyle name="Normal 7 3 8 2 3 2" xfId="20803"/>
    <cellStyle name="Normal 7 3 8 2 4" xfId="20804"/>
    <cellStyle name="Normal 7 3 8 3" xfId="20805"/>
    <cellStyle name="Normal 7 3 8 3 2" xfId="20806"/>
    <cellStyle name="Normal 7 3 8 3 2 2" xfId="20807"/>
    <cellStyle name="Normal 7 3 8 3 3" xfId="20808"/>
    <cellStyle name="Normal 7 3 8 4" xfId="20809"/>
    <cellStyle name="Normal 7 3 8 4 2" xfId="20810"/>
    <cellStyle name="Normal 7 3 8 4 3" xfId="20811"/>
    <cellStyle name="Normal 7 3 8 5" xfId="20812"/>
    <cellStyle name="Normal 7 3 8 5 2" xfId="20813"/>
    <cellStyle name="Normal 7 3 8 6" xfId="20814"/>
    <cellStyle name="Normal 7 3 8 6 2" xfId="36829"/>
    <cellStyle name="Normal 7 3 8 7" xfId="20815"/>
    <cellStyle name="Normal 7 3 9" xfId="20816"/>
    <cellStyle name="Normal 7 3 9 2" xfId="20817"/>
    <cellStyle name="Normal 7 3 9 2 2" xfId="20818"/>
    <cellStyle name="Normal 7 3 9 2 2 2" xfId="20819"/>
    <cellStyle name="Normal 7 3 9 2 3" xfId="20820"/>
    <cellStyle name="Normal 7 3 9 3" xfId="20821"/>
    <cellStyle name="Normal 7 3 9 3 2" xfId="20822"/>
    <cellStyle name="Normal 7 3 9 4" xfId="20823"/>
    <cellStyle name="Normal 7 4" xfId="20824"/>
    <cellStyle name="Normal 7 4 10" xfId="20825"/>
    <cellStyle name="Normal 7 4 10 2" xfId="20826"/>
    <cellStyle name="Normal 7 4 10 2 2" xfId="20827"/>
    <cellStyle name="Normal 7 4 10 3" xfId="20828"/>
    <cellStyle name="Normal 7 4 11" xfId="20829"/>
    <cellStyle name="Normal 7 4 11 2" xfId="20830"/>
    <cellStyle name="Normal 7 4 11 2 2" xfId="20831"/>
    <cellStyle name="Normal 7 4 11 3" xfId="20832"/>
    <cellStyle name="Normal 7 4 12" xfId="20833"/>
    <cellStyle name="Normal 7 4 12 2" xfId="20834"/>
    <cellStyle name="Normal 7 4 13" xfId="20835"/>
    <cellStyle name="Normal 7 4 13 2" xfId="36830"/>
    <cellStyle name="Normal 7 4 14" xfId="20836"/>
    <cellStyle name="Normal 7 4 2" xfId="20837"/>
    <cellStyle name="Normal 7 4 2 10" xfId="20838"/>
    <cellStyle name="Normal 7 4 2 2" xfId="20839"/>
    <cellStyle name="Normal 7 4 2 2 2" xfId="20840"/>
    <cellStyle name="Normal 7 4 2 2 2 2" xfId="20841"/>
    <cellStyle name="Normal 7 4 2 2 2 2 2" xfId="20842"/>
    <cellStyle name="Normal 7 4 2 2 2 2 2 2" xfId="20843"/>
    <cellStyle name="Normal 7 4 2 2 2 2 2 2 2" xfId="20844"/>
    <cellStyle name="Normal 7 4 2 2 2 2 2 2 3" xfId="20845"/>
    <cellStyle name="Normal 7 4 2 2 2 2 2 3" xfId="20846"/>
    <cellStyle name="Normal 7 4 2 2 2 2 2 3 2" xfId="20847"/>
    <cellStyle name="Normal 7 4 2 2 2 2 2 4" xfId="20848"/>
    <cellStyle name="Normal 7 4 2 2 2 2 3" xfId="20849"/>
    <cellStyle name="Normal 7 4 2 2 2 2 3 2" xfId="20850"/>
    <cellStyle name="Normal 7 4 2 2 2 2 3 2 2" xfId="20851"/>
    <cellStyle name="Normal 7 4 2 2 2 2 3 3" xfId="20852"/>
    <cellStyle name="Normal 7 4 2 2 2 2 4" xfId="20853"/>
    <cellStyle name="Normal 7 4 2 2 2 2 4 2" xfId="20854"/>
    <cellStyle name="Normal 7 4 2 2 2 2 4 3" xfId="20855"/>
    <cellStyle name="Normal 7 4 2 2 2 2 5" xfId="20856"/>
    <cellStyle name="Normal 7 4 2 2 2 2 5 2" xfId="20857"/>
    <cellStyle name="Normal 7 4 2 2 2 2 6" xfId="20858"/>
    <cellStyle name="Normal 7 4 2 2 2 2 6 2" xfId="36831"/>
    <cellStyle name="Normal 7 4 2 2 2 2 7" xfId="20859"/>
    <cellStyle name="Normal 7 4 2 2 2 3" xfId="20860"/>
    <cellStyle name="Normal 7 4 2 2 2 3 2" xfId="20861"/>
    <cellStyle name="Normal 7 4 2 2 2 3 2 2" xfId="20862"/>
    <cellStyle name="Normal 7 4 2 2 2 3 2 2 2" xfId="20863"/>
    <cellStyle name="Normal 7 4 2 2 2 3 2 3" xfId="20864"/>
    <cellStyle name="Normal 7 4 2 2 2 3 3" xfId="20865"/>
    <cellStyle name="Normal 7 4 2 2 2 3 3 2" xfId="20866"/>
    <cellStyle name="Normal 7 4 2 2 2 3 4" xfId="20867"/>
    <cellStyle name="Normal 7 4 2 2 2 4" xfId="20868"/>
    <cellStyle name="Normal 7 4 2 2 2 4 2" xfId="20869"/>
    <cellStyle name="Normal 7 4 2 2 2 4 2 2" xfId="20870"/>
    <cellStyle name="Normal 7 4 2 2 2 4 3" xfId="20871"/>
    <cellStyle name="Normal 7 4 2 2 2 5" xfId="20872"/>
    <cellStyle name="Normal 7 4 2 2 2 5 2" xfId="20873"/>
    <cellStyle name="Normal 7 4 2 2 2 5 2 2" xfId="20874"/>
    <cellStyle name="Normal 7 4 2 2 2 5 3" xfId="20875"/>
    <cellStyle name="Normal 7 4 2 2 2 6" xfId="20876"/>
    <cellStyle name="Normal 7 4 2 2 2 6 2" xfId="20877"/>
    <cellStyle name="Normal 7 4 2 2 2 7" xfId="20878"/>
    <cellStyle name="Normal 7 4 2 2 2 7 2" xfId="36832"/>
    <cellStyle name="Normal 7 4 2 2 2 8" xfId="20879"/>
    <cellStyle name="Normal 7 4 2 2 3" xfId="20880"/>
    <cellStyle name="Normal 7 4 2 2 3 2" xfId="20881"/>
    <cellStyle name="Normal 7 4 2 2 3 2 2" xfId="20882"/>
    <cellStyle name="Normal 7 4 2 2 3 2 2 2" xfId="20883"/>
    <cellStyle name="Normal 7 4 2 2 3 2 2 3" xfId="20884"/>
    <cellStyle name="Normal 7 4 2 2 3 2 3" xfId="20885"/>
    <cellStyle name="Normal 7 4 2 2 3 2 3 2" xfId="20886"/>
    <cellStyle name="Normal 7 4 2 2 3 2 4" xfId="20887"/>
    <cellStyle name="Normal 7 4 2 2 3 3" xfId="20888"/>
    <cellStyle name="Normal 7 4 2 2 3 3 2" xfId="20889"/>
    <cellStyle name="Normal 7 4 2 2 3 3 2 2" xfId="20890"/>
    <cellStyle name="Normal 7 4 2 2 3 3 3" xfId="20891"/>
    <cellStyle name="Normal 7 4 2 2 3 4" xfId="20892"/>
    <cellStyle name="Normal 7 4 2 2 3 4 2" xfId="20893"/>
    <cellStyle name="Normal 7 4 2 2 3 4 3" xfId="20894"/>
    <cellStyle name="Normal 7 4 2 2 3 5" xfId="20895"/>
    <cellStyle name="Normal 7 4 2 2 3 5 2" xfId="20896"/>
    <cellStyle name="Normal 7 4 2 2 3 6" xfId="20897"/>
    <cellStyle name="Normal 7 4 2 2 3 6 2" xfId="36833"/>
    <cellStyle name="Normal 7 4 2 2 3 7" xfId="20898"/>
    <cellStyle name="Normal 7 4 2 2 4" xfId="20899"/>
    <cellStyle name="Normal 7 4 2 2 4 2" xfId="20900"/>
    <cellStyle name="Normal 7 4 2 2 4 2 2" xfId="20901"/>
    <cellStyle name="Normal 7 4 2 2 4 2 2 2" xfId="20902"/>
    <cellStyle name="Normal 7 4 2 2 4 2 3" xfId="20903"/>
    <cellStyle name="Normal 7 4 2 2 4 3" xfId="20904"/>
    <cellStyle name="Normal 7 4 2 2 4 3 2" xfId="20905"/>
    <cellStyle name="Normal 7 4 2 2 4 4" xfId="20906"/>
    <cellStyle name="Normal 7 4 2 2 5" xfId="20907"/>
    <cellStyle name="Normal 7 4 2 2 5 2" xfId="20908"/>
    <cellStyle name="Normal 7 4 2 2 5 2 2" xfId="20909"/>
    <cellStyle name="Normal 7 4 2 2 5 3" xfId="20910"/>
    <cellStyle name="Normal 7 4 2 2 6" xfId="20911"/>
    <cellStyle name="Normal 7 4 2 2 6 2" xfId="20912"/>
    <cellStyle name="Normal 7 4 2 2 6 2 2" xfId="20913"/>
    <cellStyle name="Normal 7 4 2 2 6 3" xfId="20914"/>
    <cellStyle name="Normal 7 4 2 2 7" xfId="20915"/>
    <cellStyle name="Normal 7 4 2 2 7 2" xfId="20916"/>
    <cellStyle name="Normal 7 4 2 2 8" xfId="20917"/>
    <cellStyle name="Normal 7 4 2 2 8 2" xfId="36834"/>
    <cellStyle name="Normal 7 4 2 2 9" xfId="20918"/>
    <cellStyle name="Normal 7 4 2 3" xfId="20919"/>
    <cellStyle name="Normal 7 4 2 3 2" xfId="20920"/>
    <cellStyle name="Normal 7 4 2 3 2 2" xfId="20921"/>
    <cellStyle name="Normal 7 4 2 3 2 2 2" xfId="20922"/>
    <cellStyle name="Normal 7 4 2 3 2 2 2 2" xfId="20923"/>
    <cellStyle name="Normal 7 4 2 3 2 2 2 3" xfId="20924"/>
    <cellStyle name="Normal 7 4 2 3 2 2 3" xfId="20925"/>
    <cellStyle name="Normal 7 4 2 3 2 2 3 2" xfId="20926"/>
    <cellStyle name="Normal 7 4 2 3 2 2 4" xfId="20927"/>
    <cellStyle name="Normal 7 4 2 3 2 3" xfId="20928"/>
    <cellStyle name="Normal 7 4 2 3 2 3 2" xfId="20929"/>
    <cellStyle name="Normal 7 4 2 3 2 3 2 2" xfId="20930"/>
    <cellStyle name="Normal 7 4 2 3 2 3 3" xfId="20931"/>
    <cellStyle name="Normal 7 4 2 3 2 4" xfId="20932"/>
    <cellStyle name="Normal 7 4 2 3 2 4 2" xfId="20933"/>
    <cellStyle name="Normal 7 4 2 3 2 4 3" xfId="20934"/>
    <cellStyle name="Normal 7 4 2 3 2 5" xfId="20935"/>
    <cellStyle name="Normal 7 4 2 3 2 5 2" xfId="20936"/>
    <cellStyle name="Normal 7 4 2 3 2 6" xfId="20937"/>
    <cellStyle name="Normal 7 4 2 3 2 6 2" xfId="36835"/>
    <cellStyle name="Normal 7 4 2 3 2 7" xfId="20938"/>
    <cellStyle name="Normal 7 4 2 3 3" xfId="20939"/>
    <cellStyle name="Normal 7 4 2 3 3 2" xfId="20940"/>
    <cellStyle name="Normal 7 4 2 3 3 2 2" xfId="20941"/>
    <cellStyle name="Normal 7 4 2 3 3 2 2 2" xfId="20942"/>
    <cellStyle name="Normal 7 4 2 3 3 2 3" xfId="20943"/>
    <cellStyle name="Normal 7 4 2 3 3 3" xfId="20944"/>
    <cellStyle name="Normal 7 4 2 3 3 3 2" xfId="20945"/>
    <cellStyle name="Normal 7 4 2 3 3 4" xfId="20946"/>
    <cellStyle name="Normal 7 4 2 3 4" xfId="20947"/>
    <cellStyle name="Normal 7 4 2 3 4 2" xfId="20948"/>
    <cellStyle name="Normal 7 4 2 3 4 2 2" xfId="20949"/>
    <cellStyle name="Normal 7 4 2 3 4 3" xfId="20950"/>
    <cellStyle name="Normal 7 4 2 3 5" xfId="20951"/>
    <cellStyle name="Normal 7 4 2 3 5 2" xfId="20952"/>
    <cellStyle name="Normal 7 4 2 3 5 2 2" xfId="20953"/>
    <cellStyle name="Normal 7 4 2 3 5 3" xfId="20954"/>
    <cellStyle name="Normal 7 4 2 3 6" xfId="20955"/>
    <cellStyle name="Normal 7 4 2 3 6 2" xfId="20956"/>
    <cellStyle name="Normal 7 4 2 3 7" xfId="20957"/>
    <cellStyle name="Normal 7 4 2 3 7 2" xfId="36836"/>
    <cellStyle name="Normal 7 4 2 3 8" xfId="20958"/>
    <cellStyle name="Normal 7 4 2 4" xfId="20959"/>
    <cellStyle name="Normal 7 4 2 4 2" xfId="20960"/>
    <cellStyle name="Normal 7 4 2 4 2 2" xfId="20961"/>
    <cellStyle name="Normal 7 4 2 4 2 2 2" xfId="20962"/>
    <cellStyle name="Normal 7 4 2 4 2 2 3" xfId="20963"/>
    <cellStyle name="Normal 7 4 2 4 2 3" xfId="20964"/>
    <cellStyle name="Normal 7 4 2 4 2 3 2" xfId="20965"/>
    <cellStyle name="Normal 7 4 2 4 2 4" xfId="20966"/>
    <cellStyle name="Normal 7 4 2 4 3" xfId="20967"/>
    <cellStyle name="Normal 7 4 2 4 3 2" xfId="20968"/>
    <cellStyle name="Normal 7 4 2 4 3 2 2" xfId="20969"/>
    <cellStyle name="Normal 7 4 2 4 3 3" xfId="20970"/>
    <cellStyle name="Normal 7 4 2 4 4" xfId="20971"/>
    <cellStyle name="Normal 7 4 2 4 4 2" xfId="20972"/>
    <cellStyle name="Normal 7 4 2 4 4 3" xfId="20973"/>
    <cellStyle name="Normal 7 4 2 4 5" xfId="20974"/>
    <cellStyle name="Normal 7 4 2 4 5 2" xfId="20975"/>
    <cellStyle name="Normal 7 4 2 4 6" xfId="20976"/>
    <cellStyle name="Normal 7 4 2 4 6 2" xfId="36837"/>
    <cellStyle name="Normal 7 4 2 4 7" xfId="20977"/>
    <cellStyle name="Normal 7 4 2 5" xfId="20978"/>
    <cellStyle name="Normal 7 4 2 5 2" xfId="20979"/>
    <cellStyle name="Normal 7 4 2 5 2 2" xfId="20980"/>
    <cellStyle name="Normal 7 4 2 5 2 2 2" xfId="20981"/>
    <cellStyle name="Normal 7 4 2 5 2 3" xfId="20982"/>
    <cellStyle name="Normal 7 4 2 5 3" xfId="20983"/>
    <cellStyle name="Normal 7 4 2 5 3 2" xfId="20984"/>
    <cellStyle name="Normal 7 4 2 5 4" xfId="20985"/>
    <cellStyle name="Normal 7 4 2 6" xfId="20986"/>
    <cellStyle name="Normal 7 4 2 6 2" xfId="20987"/>
    <cellStyle name="Normal 7 4 2 6 2 2" xfId="20988"/>
    <cellStyle name="Normal 7 4 2 6 3" xfId="20989"/>
    <cellStyle name="Normal 7 4 2 7" xfId="20990"/>
    <cellStyle name="Normal 7 4 2 7 2" xfId="20991"/>
    <cellStyle name="Normal 7 4 2 7 2 2" xfId="20992"/>
    <cellStyle name="Normal 7 4 2 7 3" xfId="20993"/>
    <cellStyle name="Normal 7 4 2 8" xfId="20994"/>
    <cellStyle name="Normal 7 4 2 8 2" xfId="20995"/>
    <cellStyle name="Normal 7 4 2 9" xfId="20996"/>
    <cellStyle name="Normal 7 4 2 9 2" xfId="36838"/>
    <cellStyle name="Normal 7 4 3" xfId="20997"/>
    <cellStyle name="Normal 7 4 3 2" xfId="20998"/>
    <cellStyle name="Normal 7 4 3 2 2" xfId="20999"/>
    <cellStyle name="Normal 7 4 3 2 2 2" xfId="21000"/>
    <cellStyle name="Normal 7 4 3 2 2 2 2" xfId="21001"/>
    <cellStyle name="Normal 7 4 3 2 2 2 2 2" xfId="21002"/>
    <cellStyle name="Normal 7 4 3 2 2 2 2 3" xfId="21003"/>
    <cellStyle name="Normal 7 4 3 2 2 2 3" xfId="21004"/>
    <cellStyle name="Normal 7 4 3 2 2 2 3 2" xfId="21005"/>
    <cellStyle name="Normal 7 4 3 2 2 2 4" xfId="21006"/>
    <cellStyle name="Normal 7 4 3 2 2 3" xfId="21007"/>
    <cellStyle name="Normal 7 4 3 2 2 3 2" xfId="21008"/>
    <cellStyle name="Normal 7 4 3 2 2 3 2 2" xfId="21009"/>
    <cellStyle name="Normal 7 4 3 2 2 3 3" xfId="21010"/>
    <cellStyle name="Normal 7 4 3 2 2 4" xfId="21011"/>
    <cellStyle name="Normal 7 4 3 2 2 4 2" xfId="21012"/>
    <cellStyle name="Normal 7 4 3 2 2 4 3" xfId="21013"/>
    <cellStyle name="Normal 7 4 3 2 2 5" xfId="21014"/>
    <cellStyle name="Normal 7 4 3 2 2 5 2" xfId="21015"/>
    <cellStyle name="Normal 7 4 3 2 2 6" xfId="21016"/>
    <cellStyle name="Normal 7 4 3 2 2 6 2" xfId="36839"/>
    <cellStyle name="Normal 7 4 3 2 2 7" xfId="21017"/>
    <cellStyle name="Normal 7 4 3 2 3" xfId="21018"/>
    <cellStyle name="Normal 7 4 3 2 3 2" xfId="21019"/>
    <cellStyle name="Normal 7 4 3 2 3 2 2" xfId="21020"/>
    <cellStyle name="Normal 7 4 3 2 3 2 2 2" xfId="21021"/>
    <cellStyle name="Normal 7 4 3 2 3 2 3" xfId="21022"/>
    <cellStyle name="Normal 7 4 3 2 3 3" xfId="21023"/>
    <cellStyle name="Normal 7 4 3 2 3 3 2" xfId="21024"/>
    <cellStyle name="Normal 7 4 3 2 3 4" xfId="21025"/>
    <cellStyle name="Normal 7 4 3 2 4" xfId="21026"/>
    <cellStyle name="Normal 7 4 3 2 4 2" xfId="21027"/>
    <cellStyle name="Normal 7 4 3 2 4 2 2" xfId="21028"/>
    <cellStyle name="Normal 7 4 3 2 4 3" xfId="21029"/>
    <cellStyle name="Normal 7 4 3 2 5" xfId="21030"/>
    <cellStyle name="Normal 7 4 3 2 5 2" xfId="21031"/>
    <cellStyle name="Normal 7 4 3 2 5 2 2" xfId="21032"/>
    <cellStyle name="Normal 7 4 3 2 5 3" xfId="21033"/>
    <cellStyle name="Normal 7 4 3 2 6" xfId="21034"/>
    <cellStyle name="Normal 7 4 3 2 6 2" xfId="21035"/>
    <cellStyle name="Normal 7 4 3 2 7" xfId="21036"/>
    <cellStyle name="Normal 7 4 3 2 7 2" xfId="36840"/>
    <cellStyle name="Normal 7 4 3 2 8" xfId="21037"/>
    <cellStyle name="Normal 7 4 3 3" xfId="21038"/>
    <cellStyle name="Normal 7 4 3 3 2" xfId="21039"/>
    <cellStyle name="Normal 7 4 3 3 2 2" xfId="21040"/>
    <cellStyle name="Normal 7 4 3 3 2 2 2" xfId="21041"/>
    <cellStyle name="Normal 7 4 3 3 2 2 3" xfId="21042"/>
    <cellStyle name="Normal 7 4 3 3 2 3" xfId="21043"/>
    <cellStyle name="Normal 7 4 3 3 2 3 2" xfId="21044"/>
    <cellStyle name="Normal 7 4 3 3 2 4" xfId="21045"/>
    <cellStyle name="Normal 7 4 3 3 3" xfId="21046"/>
    <cellStyle name="Normal 7 4 3 3 3 2" xfId="21047"/>
    <cellStyle name="Normal 7 4 3 3 3 2 2" xfId="21048"/>
    <cellStyle name="Normal 7 4 3 3 3 3" xfId="21049"/>
    <cellStyle name="Normal 7 4 3 3 4" xfId="21050"/>
    <cellStyle name="Normal 7 4 3 3 4 2" xfId="21051"/>
    <cellStyle name="Normal 7 4 3 3 4 3" xfId="21052"/>
    <cellStyle name="Normal 7 4 3 3 5" xfId="21053"/>
    <cellStyle name="Normal 7 4 3 3 5 2" xfId="21054"/>
    <cellStyle name="Normal 7 4 3 3 6" xfId="21055"/>
    <cellStyle name="Normal 7 4 3 3 6 2" xfId="36841"/>
    <cellStyle name="Normal 7 4 3 3 7" xfId="21056"/>
    <cellStyle name="Normal 7 4 3 4" xfId="21057"/>
    <cellStyle name="Normal 7 4 3 4 2" xfId="21058"/>
    <cellStyle name="Normal 7 4 3 4 2 2" xfId="21059"/>
    <cellStyle name="Normal 7 4 3 4 2 2 2" xfId="21060"/>
    <cellStyle name="Normal 7 4 3 4 2 3" xfId="21061"/>
    <cellStyle name="Normal 7 4 3 4 3" xfId="21062"/>
    <cellStyle name="Normal 7 4 3 4 3 2" xfId="21063"/>
    <cellStyle name="Normal 7 4 3 4 4" xfId="21064"/>
    <cellStyle name="Normal 7 4 3 5" xfId="21065"/>
    <cellStyle name="Normal 7 4 3 5 2" xfId="21066"/>
    <cellStyle name="Normal 7 4 3 5 2 2" xfId="21067"/>
    <cellStyle name="Normal 7 4 3 5 3" xfId="21068"/>
    <cellStyle name="Normal 7 4 3 6" xfId="21069"/>
    <cellStyle name="Normal 7 4 3 6 2" xfId="21070"/>
    <cellStyle name="Normal 7 4 3 6 2 2" xfId="21071"/>
    <cellStyle name="Normal 7 4 3 6 3" xfId="21072"/>
    <cellStyle name="Normal 7 4 3 7" xfId="21073"/>
    <cellStyle name="Normal 7 4 3 7 2" xfId="21074"/>
    <cellStyle name="Normal 7 4 3 8" xfId="21075"/>
    <cellStyle name="Normal 7 4 3 8 2" xfId="36842"/>
    <cellStyle name="Normal 7 4 3 9" xfId="21076"/>
    <cellStyle name="Normal 7 4 4" xfId="21077"/>
    <cellStyle name="Normal 7 4 4 2" xfId="21078"/>
    <cellStyle name="Normal 7 4 4 2 2" xfId="21079"/>
    <cellStyle name="Normal 7 4 4 2 2 2" xfId="21080"/>
    <cellStyle name="Normal 7 4 4 2 2 2 2" xfId="21081"/>
    <cellStyle name="Normal 7 4 4 2 2 2 2 2" xfId="21082"/>
    <cellStyle name="Normal 7 4 4 2 2 2 2 3" xfId="21083"/>
    <cellStyle name="Normal 7 4 4 2 2 2 3" xfId="21084"/>
    <cellStyle name="Normal 7 4 4 2 2 2 3 2" xfId="21085"/>
    <cellStyle name="Normal 7 4 4 2 2 2 4" xfId="21086"/>
    <cellStyle name="Normal 7 4 4 2 2 3" xfId="21087"/>
    <cellStyle name="Normal 7 4 4 2 2 3 2" xfId="21088"/>
    <cellStyle name="Normal 7 4 4 2 2 3 2 2" xfId="21089"/>
    <cellStyle name="Normal 7 4 4 2 2 3 3" xfId="21090"/>
    <cellStyle name="Normal 7 4 4 2 2 4" xfId="21091"/>
    <cellStyle name="Normal 7 4 4 2 2 4 2" xfId="21092"/>
    <cellStyle name="Normal 7 4 4 2 2 4 3" xfId="21093"/>
    <cellStyle name="Normal 7 4 4 2 2 5" xfId="21094"/>
    <cellStyle name="Normal 7 4 4 2 2 5 2" xfId="21095"/>
    <cellStyle name="Normal 7 4 4 2 2 6" xfId="21096"/>
    <cellStyle name="Normal 7 4 4 2 2 6 2" xfId="36843"/>
    <cellStyle name="Normal 7 4 4 2 2 7" xfId="21097"/>
    <cellStyle name="Normal 7 4 4 2 3" xfId="21098"/>
    <cellStyle name="Normal 7 4 4 2 3 2" xfId="21099"/>
    <cellStyle name="Normal 7 4 4 2 3 2 2" xfId="21100"/>
    <cellStyle name="Normal 7 4 4 2 3 2 2 2" xfId="21101"/>
    <cellStyle name="Normal 7 4 4 2 3 2 3" xfId="21102"/>
    <cellStyle name="Normal 7 4 4 2 3 3" xfId="21103"/>
    <cellStyle name="Normal 7 4 4 2 3 3 2" xfId="21104"/>
    <cellStyle name="Normal 7 4 4 2 3 4" xfId="21105"/>
    <cellStyle name="Normal 7 4 4 2 4" xfId="21106"/>
    <cellStyle name="Normal 7 4 4 2 4 2" xfId="21107"/>
    <cellStyle name="Normal 7 4 4 2 4 2 2" xfId="21108"/>
    <cellStyle name="Normal 7 4 4 2 4 3" xfId="21109"/>
    <cellStyle name="Normal 7 4 4 2 5" xfId="21110"/>
    <cellStyle name="Normal 7 4 4 2 5 2" xfId="21111"/>
    <cellStyle name="Normal 7 4 4 2 5 2 2" xfId="21112"/>
    <cellStyle name="Normal 7 4 4 2 5 3" xfId="21113"/>
    <cellStyle name="Normal 7 4 4 2 6" xfId="21114"/>
    <cellStyle name="Normal 7 4 4 2 6 2" xfId="21115"/>
    <cellStyle name="Normal 7 4 4 2 7" xfId="21116"/>
    <cellStyle name="Normal 7 4 4 2 7 2" xfId="36844"/>
    <cellStyle name="Normal 7 4 4 2 8" xfId="21117"/>
    <cellStyle name="Normal 7 4 4 3" xfId="21118"/>
    <cellStyle name="Normal 7 4 4 3 2" xfId="21119"/>
    <cellStyle name="Normal 7 4 4 3 2 2" xfId="21120"/>
    <cellStyle name="Normal 7 4 4 3 2 2 2" xfId="21121"/>
    <cellStyle name="Normal 7 4 4 3 2 2 3" xfId="21122"/>
    <cellStyle name="Normal 7 4 4 3 2 3" xfId="21123"/>
    <cellStyle name="Normal 7 4 4 3 2 3 2" xfId="21124"/>
    <cellStyle name="Normal 7 4 4 3 2 4" xfId="21125"/>
    <cellStyle name="Normal 7 4 4 3 3" xfId="21126"/>
    <cellStyle name="Normal 7 4 4 3 3 2" xfId="21127"/>
    <cellStyle name="Normal 7 4 4 3 3 2 2" xfId="21128"/>
    <cellStyle name="Normal 7 4 4 3 3 3" xfId="21129"/>
    <cellStyle name="Normal 7 4 4 3 4" xfId="21130"/>
    <cellStyle name="Normal 7 4 4 3 4 2" xfId="21131"/>
    <cellStyle name="Normal 7 4 4 3 4 3" xfId="21132"/>
    <cellStyle name="Normal 7 4 4 3 5" xfId="21133"/>
    <cellStyle name="Normal 7 4 4 3 5 2" xfId="21134"/>
    <cellStyle name="Normal 7 4 4 3 6" xfId="21135"/>
    <cellStyle name="Normal 7 4 4 3 6 2" xfId="36845"/>
    <cellStyle name="Normal 7 4 4 3 7" xfId="21136"/>
    <cellStyle name="Normal 7 4 4 4" xfId="21137"/>
    <cellStyle name="Normal 7 4 4 4 2" xfId="21138"/>
    <cellStyle name="Normal 7 4 4 4 2 2" xfId="21139"/>
    <cellStyle name="Normal 7 4 4 4 2 2 2" xfId="21140"/>
    <cellStyle name="Normal 7 4 4 4 2 3" xfId="21141"/>
    <cellStyle name="Normal 7 4 4 4 3" xfId="21142"/>
    <cellStyle name="Normal 7 4 4 4 3 2" xfId="21143"/>
    <cellStyle name="Normal 7 4 4 4 4" xfId="21144"/>
    <cellStyle name="Normal 7 4 4 5" xfId="21145"/>
    <cellStyle name="Normal 7 4 4 5 2" xfId="21146"/>
    <cellStyle name="Normal 7 4 4 5 2 2" xfId="21147"/>
    <cellStyle name="Normal 7 4 4 5 3" xfId="21148"/>
    <cellStyle name="Normal 7 4 4 6" xfId="21149"/>
    <cellStyle name="Normal 7 4 4 6 2" xfId="21150"/>
    <cellStyle name="Normal 7 4 4 6 2 2" xfId="21151"/>
    <cellStyle name="Normal 7 4 4 6 3" xfId="21152"/>
    <cellStyle name="Normal 7 4 4 7" xfId="21153"/>
    <cellStyle name="Normal 7 4 4 7 2" xfId="21154"/>
    <cellStyle name="Normal 7 4 4 8" xfId="21155"/>
    <cellStyle name="Normal 7 4 4 8 2" xfId="36846"/>
    <cellStyle name="Normal 7 4 4 9" xfId="21156"/>
    <cellStyle name="Normal 7 4 5" xfId="21157"/>
    <cellStyle name="Normal 7 4 5 2" xfId="21158"/>
    <cellStyle name="Normal 7 4 5 2 2" xfId="21159"/>
    <cellStyle name="Normal 7 4 5 2 2 2" xfId="21160"/>
    <cellStyle name="Normal 7 4 5 2 2 2 2" xfId="21161"/>
    <cellStyle name="Normal 7 4 5 2 2 2 3" xfId="21162"/>
    <cellStyle name="Normal 7 4 5 2 2 3" xfId="21163"/>
    <cellStyle name="Normal 7 4 5 2 2 3 2" xfId="21164"/>
    <cellStyle name="Normal 7 4 5 2 2 4" xfId="21165"/>
    <cellStyle name="Normal 7 4 5 2 3" xfId="21166"/>
    <cellStyle name="Normal 7 4 5 2 3 2" xfId="21167"/>
    <cellStyle name="Normal 7 4 5 2 3 2 2" xfId="21168"/>
    <cellStyle name="Normal 7 4 5 2 3 3" xfId="21169"/>
    <cellStyle name="Normal 7 4 5 2 4" xfId="21170"/>
    <cellStyle name="Normal 7 4 5 2 4 2" xfId="21171"/>
    <cellStyle name="Normal 7 4 5 2 4 3" xfId="21172"/>
    <cellStyle name="Normal 7 4 5 2 5" xfId="21173"/>
    <cellStyle name="Normal 7 4 5 2 5 2" xfId="21174"/>
    <cellStyle name="Normal 7 4 5 2 6" xfId="21175"/>
    <cellStyle name="Normal 7 4 5 2 6 2" xfId="36847"/>
    <cellStyle name="Normal 7 4 5 2 7" xfId="21176"/>
    <cellStyle name="Normal 7 4 5 3" xfId="21177"/>
    <cellStyle name="Normal 7 4 5 3 2" xfId="21178"/>
    <cellStyle name="Normal 7 4 5 3 2 2" xfId="21179"/>
    <cellStyle name="Normal 7 4 5 3 2 2 2" xfId="21180"/>
    <cellStyle name="Normal 7 4 5 3 2 3" xfId="21181"/>
    <cellStyle name="Normal 7 4 5 3 3" xfId="21182"/>
    <cellStyle name="Normal 7 4 5 3 3 2" xfId="21183"/>
    <cellStyle name="Normal 7 4 5 3 4" xfId="21184"/>
    <cellStyle name="Normal 7 4 5 4" xfId="21185"/>
    <cellStyle name="Normal 7 4 5 4 2" xfId="21186"/>
    <cellStyle name="Normal 7 4 5 4 2 2" xfId="21187"/>
    <cellStyle name="Normal 7 4 5 4 3" xfId="21188"/>
    <cellStyle name="Normal 7 4 5 5" xfId="21189"/>
    <cellStyle name="Normal 7 4 5 5 2" xfId="21190"/>
    <cellStyle name="Normal 7 4 5 5 2 2" xfId="21191"/>
    <cellStyle name="Normal 7 4 5 5 3" xfId="21192"/>
    <cellStyle name="Normal 7 4 5 6" xfId="21193"/>
    <cellStyle name="Normal 7 4 5 6 2" xfId="21194"/>
    <cellStyle name="Normal 7 4 5 7" xfId="21195"/>
    <cellStyle name="Normal 7 4 5 7 2" xfId="36848"/>
    <cellStyle name="Normal 7 4 5 8" xfId="21196"/>
    <cellStyle name="Normal 7 4 6" xfId="21197"/>
    <cellStyle name="Normal 7 4 6 2" xfId="21198"/>
    <cellStyle name="Normal 7 4 6 2 2" xfId="21199"/>
    <cellStyle name="Normal 7 4 6 2 2 2" xfId="21200"/>
    <cellStyle name="Normal 7 4 6 2 2 2 2" xfId="21201"/>
    <cellStyle name="Normal 7 4 6 2 2 2 3" xfId="21202"/>
    <cellStyle name="Normal 7 4 6 2 2 3" xfId="21203"/>
    <cellStyle name="Normal 7 4 6 2 2 3 2" xfId="21204"/>
    <cellStyle name="Normal 7 4 6 2 2 4" xfId="21205"/>
    <cellStyle name="Normal 7 4 6 2 3" xfId="21206"/>
    <cellStyle name="Normal 7 4 6 2 3 2" xfId="21207"/>
    <cellStyle name="Normal 7 4 6 2 3 2 2" xfId="21208"/>
    <cellStyle name="Normal 7 4 6 2 3 3" xfId="21209"/>
    <cellStyle name="Normal 7 4 6 2 4" xfId="21210"/>
    <cellStyle name="Normal 7 4 6 2 4 2" xfId="21211"/>
    <cellStyle name="Normal 7 4 6 2 4 3" xfId="21212"/>
    <cellStyle name="Normal 7 4 6 2 5" xfId="21213"/>
    <cellStyle name="Normal 7 4 6 2 5 2" xfId="21214"/>
    <cellStyle name="Normal 7 4 6 2 6" xfId="21215"/>
    <cellStyle name="Normal 7 4 6 2 6 2" xfId="36849"/>
    <cellStyle name="Normal 7 4 6 2 7" xfId="21216"/>
    <cellStyle name="Normal 7 4 6 3" xfId="21217"/>
    <cellStyle name="Normal 7 4 6 3 2" xfId="21218"/>
    <cellStyle name="Normal 7 4 6 3 2 2" xfId="21219"/>
    <cellStyle name="Normal 7 4 6 3 2 2 2" xfId="21220"/>
    <cellStyle name="Normal 7 4 6 3 2 3" xfId="21221"/>
    <cellStyle name="Normal 7 4 6 3 3" xfId="21222"/>
    <cellStyle name="Normal 7 4 6 3 3 2" xfId="21223"/>
    <cellStyle name="Normal 7 4 6 3 4" xfId="21224"/>
    <cellStyle name="Normal 7 4 6 4" xfId="21225"/>
    <cellStyle name="Normal 7 4 6 4 2" xfId="21226"/>
    <cellStyle name="Normal 7 4 6 4 2 2" xfId="21227"/>
    <cellStyle name="Normal 7 4 6 4 3" xfId="21228"/>
    <cellStyle name="Normal 7 4 6 5" xfId="21229"/>
    <cellStyle name="Normal 7 4 6 5 2" xfId="21230"/>
    <cellStyle name="Normal 7 4 6 5 2 2" xfId="21231"/>
    <cellStyle name="Normal 7 4 6 5 3" xfId="21232"/>
    <cellStyle name="Normal 7 4 6 6" xfId="21233"/>
    <cellStyle name="Normal 7 4 6 6 2" xfId="21234"/>
    <cellStyle name="Normal 7 4 6 7" xfId="21235"/>
    <cellStyle name="Normal 7 4 6 7 2" xfId="36850"/>
    <cellStyle name="Normal 7 4 6 8" xfId="21236"/>
    <cellStyle name="Normal 7 4 7" xfId="21237"/>
    <cellStyle name="Normal 7 4 7 2" xfId="21238"/>
    <cellStyle name="Normal 7 4 7 2 2" xfId="21239"/>
    <cellStyle name="Normal 7 4 7 2 2 2" xfId="21240"/>
    <cellStyle name="Normal 7 4 7 2 2 2 2" xfId="21241"/>
    <cellStyle name="Normal 7 4 7 2 2 2 3" xfId="21242"/>
    <cellStyle name="Normal 7 4 7 2 2 3" xfId="21243"/>
    <cellStyle name="Normal 7 4 7 2 2 3 2" xfId="21244"/>
    <cellStyle name="Normal 7 4 7 2 2 4" xfId="21245"/>
    <cellStyle name="Normal 7 4 7 2 3" xfId="21246"/>
    <cellStyle name="Normal 7 4 7 2 3 2" xfId="21247"/>
    <cellStyle name="Normal 7 4 7 2 3 2 2" xfId="21248"/>
    <cellStyle name="Normal 7 4 7 2 3 3" xfId="21249"/>
    <cellStyle name="Normal 7 4 7 2 4" xfId="21250"/>
    <cellStyle name="Normal 7 4 7 2 4 2" xfId="21251"/>
    <cellStyle name="Normal 7 4 7 2 4 3" xfId="21252"/>
    <cellStyle name="Normal 7 4 7 2 5" xfId="21253"/>
    <cellStyle name="Normal 7 4 7 2 5 2" xfId="21254"/>
    <cellStyle name="Normal 7 4 7 2 6" xfId="21255"/>
    <cellStyle name="Normal 7 4 7 2 6 2" xfId="36851"/>
    <cellStyle name="Normal 7 4 7 2 7" xfId="21256"/>
    <cellStyle name="Normal 7 4 7 3" xfId="21257"/>
    <cellStyle name="Normal 7 4 7 3 2" xfId="21258"/>
    <cellStyle name="Normal 7 4 7 3 2 2" xfId="21259"/>
    <cellStyle name="Normal 7 4 7 3 2 2 2" xfId="21260"/>
    <cellStyle name="Normal 7 4 7 3 2 3" xfId="21261"/>
    <cellStyle name="Normal 7 4 7 3 3" xfId="21262"/>
    <cellStyle name="Normal 7 4 7 3 3 2" xfId="21263"/>
    <cellStyle name="Normal 7 4 7 3 4" xfId="21264"/>
    <cellStyle name="Normal 7 4 7 4" xfId="21265"/>
    <cellStyle name="Normal 7 4 7 4 2" xfId="21266"/>
    <cellStyle name="Normal 7 4 7 4 2 2" xfId="21267"/>
    <cellStyle name="Normal 7 4 7 4 3" xfId="21268"/>
    <cellStyle name="Normal 7 4 7 5" xfId="21269"/>
    <cellStyle name="Normal 7 4 7 5 2" xfId="21270"/>
    <cellStyle name="Normal 7 4 7 5 2 2" xfId="21271"/>
    <cellStyle name="Normal 7 4 7 5 3" xfId="21272"/>
    <cellStyle name="Normal 7 4 7 6" xfId="21273"/>
    <cellStyle name="Normal 7 4 7 6 2" xfId="21274"/>
    <cellStyle name="Normal 7 4 7 7" xfId="21275"/>
    <cellStyle name="Normal 7 4 7 7 2" xfId="36852"/>
    <cellStyle name="Normal 7 4 7 8" xfId="21276"/>
    <cellStyle name="Normal 7 4 8" xfId="21277"/>
    <cellStyle name="Normal 7 4 8 2" xfId="21278"/>
    <cellStyle name="Normal 7 4 8 2 2" xfId="21279"/>
    <cellStyle name="Normal 7 4 8 2 2 2" xfId="21280"/>
    <cellStyle name="Normal 7 4 8 2 2 3" xfId="21281"/>
    <cellStyle name="Normal 7 4 8 2 3" xfId="21282"/>
    <cellStyle name="Normal 7 4 8 2 3 2" xfId="21283"/>
    <cellStyle name="Normal 7 4 8 2 4" xfId="21284"/>
    <cellStyle name="Normal 7 4 8 3" xfId="21285"/>
    <cellStyle name="Normal 7 4 8 3 2" xfId="21286"/>
    <cellStyle name="Normal 7 4 8 3 2 2" xfId="21287"/>
    <cellStyle name="Normal 7 4 8 3 3" xfId="21288"/>
    <cellStyle name="Normal 7 4 8 4" xfId="21289"/>
    <cellStyle name="Normal 7 4 8 4 2" xfId="21290"/>
    <cellStyle name="Normal 7 4 8 4 3" xfId="21291"/>
    <cellStyle name="Normal 7 4 8 5" xfId="21292"/>
    <cellStyle name="Normal 7 4 8 5 2" xfId="21293"/>
    <cellStyle name="Normal 7 4 8 6" xfId="21294"/>
    <cellStyle name="Normal 7 4 8 6 2" xfId="36853"/>
    <cellStyle name="Normal 7 4 8 7" xfId="21295"/>
    <cellStyle name="Normal 7 4 9" xfId="21296"/>
    <cellStyle name="Normal 7 4 9 2" xfId="21297"/>
    <cellStyle name="Normal 7 4 9 2 2" xfId="21298"/>
    <cellStyle name="Normal 7 4 9 2 2 2" xfId="21299"/>
    <cellStyle name="Normal 7 4 9 2 3" xfId="21300"/>
    <cellStyle name="Normal 7 4 9 3" xfId="21301"/>
    <cellStyle name="Normal 7 4 9 3 2" xfId="21302"/>
    <cellStyle name="Normal 7 4 9 4" xfId="21303"/>
    <cellStyle name="Normal 7 5" xfId="21304"/>
    <cellStyle name="Normal 7 5 10" xfId="21305"/>
    <cellStyle name="Normal 7 5 10 2" xfId="21306"/>
    <cellStyle name="Normal 7 5 10 2 2" xfId="21307"/>
    <cellStyle name="Normal 7 5 10 3" xfId="21308"/>
    <cellStyle name="Normal 7 5 11" xfId="21309"/>
    <cellStyle name="Normal 7 5 11 2" xfId="21310"/>
    <cellStyle name="Normal 7 5 11 2 2" xfId="21311"/>
    <cellStyle name="Normal 7 5 11 3" xfId="21312"/>
    <cellStyle name="Normal 7 5 12" xfId="21313"/>
    <cellStyle name="Normal 7 5 12 2" xfId="21314"/>
    <cellStyle name="Normal 7 5 13" xfId="21315"/>
    <cellStyle name="Normal 7 5 13 2" xfId="36854"/>
    <cellStyle name="Normal 7 5 14" xfId="21316"/>
    <cellStyle name="Normal 7 5 2" xfId="21317"/>
    <cellStyle name="Normal 7 5 2 10" xfId="21318"/>
    <cellStyle name="Normal 7 5 2 2" xfId="21319"/>
    <cellStyle name="Normal 7 5 2 2 2" xfId="21320"/>
    <cellStyle name="Normal 7 5 2 2 2 2" xfId="21321"/>
    <cellStyle name="Normal 7 5 2 2 2 2 2" xfId="21322"/>
    <cellStyle name="Normal 7 5 2 2 2 2 2 2" xfId="21323"/>
    <cellStyle name="Normal 7 5 2 2 2 2 2 2 2" xfId="21324"/>
    <cellStyle name="Normal 7 5 2 2 2 2 2 2 3" xfId="21325"/>
    <cellStyle name="Normal 7 5 2 2 2 2 2 3" xfId="21326"/>
    <cellStyle name="Normal 7 5 2 2 2 2 2 3 2" xfId="21327"/>
    <cellStyle name="Normal 7 5 2 2 2 2 2 4" xfId="21328"/>
    <cellStyle name="Normal 7 5 2 2 2 2 3" xfId="21329"/>
    <cellStyle name="Normal 7 5 2 2 2 2 3 2" xfId="21330"/>
    <cellStyle name="Normal 7 5 2 2 2 2 3 2 2" xfId="21331"/>
    <cellStyle name="Normal 7 5 2 2 2 2 3 3" xfId="21332"/>
    <cellStyle name="Normal 7 5 2 2 2 2 4" xfId="21333"/>
    <cellStyle name="Normal 7 5 2 2 2 2 4 2" xfId="21334"/>
    <cellStyle name="Normal 7 5 2 2 2 2 4 3" xfId="21335"/>
    <cellStyle name="Normal 7 5 2 2 2 2 5" xfId="21336"/>
    <cellStyle name="Normal 7 5 2 2 2 2 5 2" xfId="21337"/>
    <cellStyle name="Normal 7 5 2 2 2 2 6" xfId="21338"/>
    <cellStyle name="Normal 7 5 2 2 2 2 6 2" xfId="36855"/>
    <cellStyle name="Normal 7 5 2 2 2 2 7" xfId="21339"/>
    <cellStyle name="Normal 7 5 2 2 2 3" xfId="21340"/>
    <cellStyle name="Normal 7 5 2 2 2 3 2" xfId="21341"/>
    <cellStyle name="Normal 7 5 2 2 2 3 2 2" xfId="21342"/>
    <cellStyle name="Normal 7 5 2 2 2 3 2 2 2" xfId="21343"/>
    <cellStyle name="Normal 7 5 2 2 2 3 2 3" xfId="21344"/>
    <cellStyle name="Normal 7 5 2 2 2 3 3" xfId="21345"/>
    <cellStyle name="Normal 7 5 2 2 2 3 3 2" xfId="21346"/>
    <cellStyle name="Normal 7 5 2 2 2 3 4" xfId="21347"/>
    <cellStyle name="Normal 7 5 2 2 2 4" xfId="21348"/>
    <cellStyle name="Normal 7 5 2 2 2 4 2" xfId="21349"/>
    <cellStyle name="Normal 7 5 2 2 2 4 2 2" xfId="21350"/>
    <cellStyle name="Normal 7 5 2 2 2 4 3" xfId="21351"/>
    <cellStyle name="Normal 7 5 2 2 2 5" xfId="21352"/>
    <cellStyle name="Normal 7 5 2 2 2 5 2" xfId="21353"/>
    <cellStyle name="Normal 7 5 2 2 2 5 2 2" xfId="21354"/>
    <cellStyle name="Normal 7 5 2 2 2 5 3" xfId="21355"/>
    <cellStyle name="Normal 7 5 2 2 2 6" xfId="21356"/>
    <cellStyle name="Normal 7 5 2 2 2 6 2" xfId="21357"/>
    <cellStyle name="Normal 7 5 2 2 2 7" xfId="21358"/>
    <cellStyle name="Normal 7 5 2 2 2 7 2" xfId="36856"/>
    <cellStyle name="Normal 7 5 2 2 2 8" xfId="21359"/>
    <cellStyle name="Normal 7 5 2 2 3" xfId="21360"/>
    <cellStyle name="Normal 7 5 2 2 3 2" xfId="21361"/>
    <cellStyle name="Normal 7 5 2 2 3 2 2" xfId="21362"/>
    <cellStyle name="Normal 7 5 2 2 3 2 2 2" xfId="21363"/>
    <cellStyle name="Normal 7 5 2 2 3 2 2 3" xfId="21364"/>
    <cellStyle name="Normal 7 5 2 2 3 2 3" xfId="21365"/>
    <cellStyle name="Normal 7 5 2 2 3 2 3 2" xfId="21366"/>
    <cellStyle name="Normal 7 5 2 2 3 2 4" xfId="21367"/>
    <cellStyle name="Normal 7 5 2 2 3 3" xfId="21368"/>
    <cellStyle name="Normal 7 5 2 2 3 3 2" xfId="21369"/>
    <cellStyle name="Normal 7 5 2 2 3 3 2 2" xfId="21370"/>
    <cellStyle name="Normal 7 5 2 2 3 3 3" xfId="21371"/>
    <cellStyle name="Normal 7 5 2 2 3 4" xfId="21372"/>
    <cellStyle name="Normal 7 5 2 2 3 4 2" xfId="21373"/>
    <cellStyle name="Normal 7 5 2 2 3 4 3" xfId="21374"/>
    <cellStyle name="Normal 7 5 2 2 3 5" xfId="21375"/>
    <cellStyle name="Normal 7 5 2 2 3 5 2" xfId="21376"/>
    <cellStyle name="Normal 7 5 2 2 3 6" xfId="21377"/>
    <cellStyle name="Normal 7 5 2 2 3 6 2" xfId="36857"/>
    <cellStyle name="Normal 7 5 2 2 3 7" xfId="21378"/>
    <cellStyle name="Normal 7 5 2 2 4" xfId="21379"/>
    <cellStyle name="Normal 7 5 2 2 4 2" xfId="21380"/>
    <cellStyle name="Normal 7 5 2 2 4 2 2" xfId="21381"/>
    <cellStyle name="Normal 7 5 2 2 4 2 2 2" xfId="21382"/>
    <cellStyle name="Normal 7 5 2 2 4 2 3" xfId="21383"/>
    <cellStyle name="Normal 7 5 2 2 4 3" xfId="21384"/>
    <cellStyle name="Normal 7 5 2 2 4 3 2" xfId="21385"/>
    <cellStyle name="Normal 7 5 2 2 4 4" xfId="21386"/>
    <cellStyle name="Normal 7 5 2 2 5" xfId="21387"/>
    <cellStyle name="Normal 7 5 2 2 5 2" xfId="21388"/>
    <cellStyle name="Normal 7 5 2 2 5 2 2" xfId="21389"/>
    <cellStyle name="Normal 7 5 2 2 5 3" xfId="21390"/>
    <cellStyle name="Normal 7 5 2 2 6" xfId="21391"/>
    <cellStyle name="Normal 7 5 2 2 6 2" xfId="21392"/>
    <cellStyle name="Normal 7 5 2 2 6 2 2" xfId="21393"/>
    <cellStyle name="Normal 7 5 2 2 6 3" xfId="21394"/>
    <cellStyle name="Normal 7 5 2 2 7" xfId="21395"/>
    <cellStyle name="Normal 7 5 2 2 7 2" xfId="21396"/>
    <cellStyle name="Normal 7 5 2 2 8" xfId="21397"/>
    <cellStyle name="Normal 7 5 2 2 8 2" xfId="36858"/>
    <cellStyle name="Normal 7 5 2 2 9" xfId="21398"/>
    <cellStyle name="Normal 7 5 2 3" xfId="21399"/>
    <cellStyle name="Normal 7 5 2 3 2" xfId="21400"/>
    <cellStyle name="Normal 7 5 2 3 2 2" xfId="21401"/>
    <cellStyle name="Normal 7 5 2 3 2 2 2" xfId="21402"/>
    <cellStyle name="Normal 7 5 2 3 2 2 2 2" xfId="21403"/>
    <cellStyle name="Normal 7 5 2 3 2 2 2 3" xfId="21404"/>
    <cellStyle name="Normal 7 5 2 3 2 2 3" xfId="21405"/>
    <cellStyle name="Normal 7 5 2 3 2 2 3 2" xfId="21406"/>
    <cellStyle name="Normal 7 5 2 3 2 2 4" xfId="21407"/>
    <cellStyle name="Normal 7 5 2 3 2 3" xfId="21408"/>
    <cellStyle name="Normal 7 5 2 3 2 3 2" xfId="21409"/>
    <cellStyle name="Normal 7 5 2 3 2 3 2 2" xfId="21410"/>
    <cellStyle name="Normal 7 5 2 3 2 3 3" xfId="21411"/>
    <cellStyle name="Normal 7 5 2 3 2 4" xfId="21412"/>
    <cellStyle name="Normal 7 5 2 3 2 4 2" xfId="21413"/>
    <cellStyle name="Normal 7 5 2 3 2 4 3" xfId="21414"/>
    <cellStyle name="Normal 7 5 2 3 2 5" xfId="21415"/>
    <cellStyle name="Normal 7 5 2 3 2 5 2" xfId="21416"/>
    <cellStyle name="Normal 7 5 2 3 2 6" xfId="21417"/>
    <cellStyle name="Normal 7 5 2 3 2 6 2" xfId="36859"/>
    <cellStyle name="Normal 7 5 2 3 2 7" xfId="21418"/>
    <cellStyle name="Normal 7 5 2 3 3" xfId="21419"/>
    <cellStyle name="Normal 7 5 2 3 3 2" xfId="21420"/>
    <cellStyle name="Normal 7 5 2 3 3 2 2" xfId="21421"/>
    <cellStyle name="Normal 7 5 2 3 3 2 2 2" xfId="21422"/>
    <cellStyle name="Normal 7 5 2 3 3 2 3" xfId="21423"/>
    <cellStyle name="Normal 7 5 2 3 3 3" xfId="21424"/>
    <cellStyle name="Normal 7 5 2 3 3 3 2" xfId="21425"/>
    <cellStyle name="Normal 7 5 2 3 3 4" xfId="21426"/>
    <cellStyle name="Normal 7 5 2 3 4" xfId="21427"/>
    <cellStyle name="Normal 7 5 2 3 4 2" xfId="21428"/>
    <cellStyle name="Normal 7 5 2 3 4 2 2" xfId="21429"/>
    <cellStyle name="Normal 7 5 2 3 4 3" xfId="21430"/>
    <cellStyle name="Normal 7 5 2 3 5" xfId="21431"/>
    <cellStyle name="Normal 7 5 2 3 5 2" xfId="21432"/>
    <cellStyle name="Normal 7 5 2 3 5 2 2" xfId="21433"/>
    <cellStyle name="Normal 7 5 2 3 5 3" xfId="21434"/>
    <cellStyle name="Normal 7 5 2 3 6" xfId="21435"/>
    <cellStyle name="Normal 7 5 2 3 6 2" xfId="21436"/>
    <cellStyle name="Normal 7 5 2 3 7" xfId="21437"/>
    <cellStyle name="Normal 7 5 2 3 7 2" xfId="36860"/>
    <cellStyle name="Normal 7 5 2 3 8" xfId="21438"/>
    <cellStyle name="Normal 7 5 2 4" xfId="21439"/>
    <cellStyle name="Normal 7 5 2 4 2" xfId="21440"/>
    <cellStyle name="Normal 7 5 2 4 2 2" xfId="21441"/>
    <cellStyle name="Normal 7 5 2 4 2 2 2" xfId="21442"/>
    <cellStyle name="Normal 7 5 2 4 2 2 3" xfId="21443"/>
    <cellStyle name="Normal 7 5 2 4 2 3" xfId="21444"/>
    <cellStyle name="Normal 7 5 2 4 2 3 2" xfId="21445"/>
    <cellStyle name="Normal 7 5 2 4 2 4" xfId="21446"/>
    <cellStyle name="Normal 7 5 2 4 3" xfId="21447"/>
    <cellStyle name="Normal 7 5 2 4 3 2" xfId="21448"/>
    <cellStyle name="Normal 7 5 2 4 3 2 2" xfId="21449"/>
    <cellStyle name="Normal 7 5 2 4 3 3" xfId="21450"/>
    <cellStyle name="Normal 7 5 2 4 4" xfId="21451"/>
    <cellStyle name="Normal 7 5 2 4 4 2" xfId="21452"/>
    <cellStyle name="Normal 7 5 2 4 4 3" xfId="21453"/>
    <cellStyle name="Normal 7 5 2 4 5" xfId="21454"/>
    <cellStyle name="Normal 7 5 2 4 5 2" xfId="21455"/>
    <cellStyle name="Normal 7 5 2 4 6" xfId="21456"/>
    <cellStyle name="Normal 7 5 2 4 6 2" xfId="36861"/>
    <cellStyle name="Normal 7 5 2 4 7" xfId="21457"/>
    <cellStyle name="Normal 7 5 2 5" xfId="21458"/>
    <cellStyle name="Normal 7 5 2 5 2" xfId="21459"/>
    <cellStyle name="Normal 7 5 2 5 2 2" xfId="21460"/>
    <cellStyle name="Normal 7 5 2 5 2 2 2" xfId="21461"/>
    <cellStyle name="Normal 7 5 2 5 2 3" xfId="21462"/>
    <cellStyle name="Normal 7 5 2 5 3" xfId="21463"/>
    <cellStyle name="Normal 7 5 2 5 3 2" xfId="21464"/>
    <cellStyle name="Normal 7 5 2 5 4" xfId="21465"/>
    <cellStyle name="Normal 7 5 2 6" xfId="21466"/>
    <cellStyle name="Normal 7 5 2 6 2" xfId="21467"/>
    <cellStyle name="Normal 7 5 2 6 2 2" xfId="21468"/>
    <cellStyle name="Normal 7 5 2 6 3" xfId="21469"/>
    <cellStyle name="Normal 7 5 2 7" xfId="21470"/>
    <cellStyle name="Normal 7 5 2 7 2" xfId="21471"/>
    <cellStyle name="Normal 7 5 2 7 2 2" xfId="21472"/>
    <cellStyle name="Normal 7 5 2 7 3" xfId="21473"/>
    <cellStyle name="Normal 7 5 2 8" xfId="21474"/>
    <cellStyle name="Normal 7 5 2 8 2" xfId="21475"/>
    <cellStyle name="Normal 7 5 2 9" xfId="21476"/>
    <cellStyle name="Normal 7 5 2 9 2" xfId="36862"/>
    <cellStyle name="Normal 7 5 3" xfId="21477"/>
    <cellStyle name="Normal 7 5 3 2" xfId="21478"/>
    <cellStyle name="Normal 7 5 3 2 2" xfId="21479"/>
    <cellStyle name="Normal 7 5 3 2 2 2" xfId="21480"/>
    <cellStyle name="Normal 7 5 3 2 2 2 2" xfId="21481"/>
    <cellStyle name="Normal 7 5 3 2 2 2 2 2" xfId="21482"/>
    <cellStyle name="Normal 7 5 3 2 2 2 2 3" xfId="21483"/>
    <cellStyle name="Normal 7 5 3 2 2 2 3" xfId="21484"/>
    <cellStyle name="Normal 7 5 3 2 2 2 3 2" xfId="21485"/>
    <cellStyle name="Normal 7 5 3 2 2 2 4" xfId="21486"/>
    <cellStyle name="Normal 7 5 3 2 2 3" xfId="21487"/>
    <cellStyle name="Normal 7 5 3 2 2 3 2" xfId="21488"/>
    <cellStyle name="Normal 7 5 3 2 2 3 2 2" xfId="21489"/>
    <cellStyle name="Normal 7 5 3 2 2 3 3" xfId="21490"/>
    <cellStyle name="Normal 7 5 3 2 2 4" xfId="21491"/>
    <cellStyle name="Normal 7 5 3 2 2 4 2" xfId="21492"/>
    <cellStyle name="Normal 7 5 3 2 2 4 3" xfId="21493"/>
    <cellStyle name="Normal 7 5 3 2 2 5" xfId="21494"/>
    <cellStyle name="Normal 7 5 3 2 2 5 2" xfId="21495"/>
    <cellStyle name="Normal 7 5 3 2 2 6" xfId="21496"/>
    <cellStyle name="Normal 7 5 3 2 2 6 2" xfId="36863"/>
    <cellStyle name="Normal 7 5 3 2 2 7" xfId="21497"/>
    <cellStyle name="Normal 7 5 3 2 3" xfId="21498"/>
    <cellStyle name="Normal 7 5 3 2 3 2" xfId="21499"/>
    <cellStyle name="Normal 7 5 3 2 3 2 2" xfId="21500"/>
    <cellStyle name="Normal 7 5 3 2 3 2 2 2" xfId="21501"/>
    <cellStyle name="Normal 7 5 3 2 3 2 3" xfId="21502"/>
    <cellStyle name="Normal 7 5 3 2 3 3" xfId="21503"/>
    <cellStyle name="Normal 7 5 3 2 3 3 2" xfId="21504"/>
    <cellStyle name="Normal 7 5 3 2 3 4" xfId="21505"/>
    <cellStyle name="Normal 7 5 3 2 4" xfId="21506"/>
    <cellStyle name="Normal 7 5 3 2 4 2" xfId="21507"/>
    <cellStyle name="Normal 7 5 3 2 4 2 2" xfId="21508"/>
    <cellStyle name="Normal 7 5 3 2 4 3" xfId="21509"/>
    <cellStyle name="Normal 7 5 3 2 5" xfId="21510"/>
    <cellStyle name="Normal 7 5 3 2 5 2" xfId="21511"/>
    <cellStyle name="Normal 7 5 3 2 5 2 2" xfId="21512"/>
    <cellStyle name="Normal 7 5 3 2 5 3" xfId="21513"/>
    <cellStyle name="Normal 7 5 3 2 6" xfId="21514"/>
    <cellStyle name="Normal 7 5 3 2 6 2" xfId="21515"/>
    <cellStyle name="Normal 7 5 3 2 7" xfId="21516"/>
    <cellStyle name="Normal 7 5 3 2 7 2" xfId="36864"/>
    <cellStyle name="Normal 7 5 3 2 8" xfId="21517"/>
    <cellStyle name="Normal 7 5 3 3" xfId="21518"/>
    <cellStyle name="Normal 7 5 3 3 2" xfId="21519"/>
    <cellStyle name="Normal 7 5 3 3 2 2" xfId="21520"/>
    <cellStyle name="Normal 7 5 3 3 2 2 2" xfId="21521"/>
    <cellStyle name="Normal 7 5 3 3 2 2 3" xfId="21522"/>
    <cellStyle name="Normal 7 5 3 3 2 3" xfId="21523"/>
    <cellStyle name="Normal 7 5 3 3 2 3 2" xfId="21524"/>
    <cellStyle name="Normal 7 5 3 3 2 4" xfId="21525"/>
    <cellStyle name="Normal 7 5 3 3 3" xfId="21526"/>
    <cellStyle name="Normal 7 5 3 3 3 2" xfId="21527"/>
    <cellStyle name="Normal 7 5 3 3 3 2 2" xfId="21528"/>
    <cellStyle name="Normal 7 5 3 3 3 3" xfId="21529"/>
    <cellStyle name="Normal 7 5 3 3 4" xfId="21530"/>
    <cellStyle name="Normal 7 5 3 3 4 2" xfId="21531"/>
    <cellStyle name="Normal 7 5 3 3 4 3" xfId="21532"/>
    <cellStyle name="Normal 7 5 3 3 5" xfId="21533"/>
    <cellStyle name="Normal 7 5 3 3 5 2" xfId="21534"/>
    <cellStyle name="Normal 7 5 3 3 6" xfId="21535"/>
    <cellStyle name="Normal 7 5 3 3 6 2" xfId="36865"/>
    <cellStyle name="Normal 7 5 3 3 7" xfId="21536"/>
    <cellStyle name="Normal 7 5 3 4" xfId="21537"/>
    <cellStyle name="Normal 7 5 3 4 2" xfId="21538"/>
    <cellStyle name="Normal 7 5 3 4 2 2" xfId="21539"/>
    <cellStyle name="Normal 7 5 3 4 2 2 2" xfId="21540"/>
    <cellStyle name="Normal 7 5 3 4 2 3" xfId="21541"/>
    <cellStyle name="Normal 7 5 3 4 3" xfId="21542"/>
    <cellStyle name="Normal 7 5 3 4 3 2" xfId="21543"/>
    <cellStyle name="Normal 7 5 3 4 4" xfId="21544"/>
    <cellStyle name="Normal 7 5 3 5" xfId="21545"/>
    <cellStyle name="Normal 7 5 3 5 2" xfId="21546"/>
    <cellStyle name="Normal 7 5 3 5 2 2" xfId="21547"/>
    <cellStyle name="Normal 7 5 3 5 3" xfId="21548"/>
    <cellStyle name="Normal 7 5 3 6" xfId="21549"/>
    <cellStyle name="Normal 7 5 3 6 2" xfId="21550"/>
    <cellStyle name="Normal 7 5 3 6 2 2" xfId="21551"/>
    <cellStyle name="Normal 7 5 3 6 3" xfId="21552"/>
    <cellStyle name="Normal 7 5 3 7" xfId="21553"/>
    <cellStyle name="Normal 7 5 3 7 2" xfId="21554"/>
    <cellStyle name="Normal 7 5 3 8" xfId="21555"/>
    <cellStyle name="Normal 7 5 3 8 2" xfId="36866"/>
    <cellStyle name="Normal 7 5 3 9" xfId="21556"/>
    <cellStyle name="Normal 7 5 4" xfId="21557"/>
    <cellStyle name="Normal 7 5 4 2" xfId="21558"/>
    <cellStyle name="Normal 7 5 4 2 2" xfId="21559"/>
    <cellStyle name="Normal 7 5 4 2 2 2" xfId="21560"/>
    <cellStyle name="Normal 7 5 4 2 2 2 2" xfId="21561"/>
    <cellStyle name="Normal 7 5 4 2 2 2 2 2" xfId="21562"/>
    <cellStyle name="Normal 7 5 4 2 2 2 2 3" xfId="21563"/>
    <cellStyle name="Normal 7 5 4 2 2 2 3" xfId="21564"/>
    <cellStyle name="Normal 7 5 4 2 2 2 3 2" xfId="21565"/>
    <cellStyle name="Normal 7 5 4 2 2 2 4" xfId="21566"/>
    <cellStyle name="Normal 7 5 4 2 2 3" xfId="21567"/>
    <cellStyle name="Normal 7 5 4 2 2 3 2" xfId="21568"/>
    <cellStyle name="Normal 7 5 4 2 2 3 2 2" xfId="21569"/>
    <cellStyle name="Normal 7 5 4 2 2 3 3" xfId="21570"/>
    <cellStyle name="Normal 7 5 4 2 2 4" xfId="21571"/>
    <cellStyle name="Normal 7 5 4 2 2 4 2" xfId="21572"/>
    <cellStyle name="Normal 7 5 4 2 2 4 3" xfId="21573"/>
    <cellStyle name="Normal 7 5 4 2 2 5" xfId="21574"/>
    <cellStyle name="Normal 7 5 4 2 2 5 2" xfId="21575"/>
    <cellStyle name="Normal 7 5 4 2 2 6" xfId="21576"/>
    <cellStyle name="Normal 7 5 4 2 2 6 2" xfId="36867"/>
    <cellStyle name="Normal 7 5 4 2 2 7" xfId="21577"/>
    <cellStyle name="Normal 7 5 4 2 3" xfId="21578"/>
    <cellStyle name="Normal 7 5 4 2 3 2" xfId="21579"/>
    <cellStyle name="Normal 7 5 4 2 3 2 2" xfId="21580"/>
    <cellStyle name="Normal 7 5 4 2 3 2 2 2" xfId="21581"/>
    <cellStyle name="Normal 7 5 4 2 3 2 3" xfId="21582"/>
    <cellStyle name="Normal 7 5 4 2 3 3" xfId="21583"/>
    <cellStyle name="Normal 7 5 4 2 3 3 2" xfId="21584"/>
    <cellStyle name="Normal 7 5 4 2 3 4" xfId="21585"/>
    <cellStyle name="Normal 7 5 4 2 4" xfId="21586"/>
    <cellStyle name="Normal 7 5 4 2 4 2" xfId="21587"/>
    <cellStyle name="Normal 7 5 4 2 4 2 2" xfId="21588"/>
    <cellStyle name="Normal 7 5 4 2 4 3" xfId="21589"/>
    <cellStyle name="Normal 7 5 4 2 5" xfId="21590"/>
    <cellStyle name="Normal 7 5 4 2 5 2" xfId="21591"/>
    <cellStyle name="Normal 7 5 4 2 5 2 2" xfId="21592"/>
    <cellStyle name="Normal 7 5 4 2 5 3" xfId="21593"/>
    <cellStyle name="Normal 7 5 4 2 6" xfId="21594"/>
    <cellStyle name="Normal 7 5 4 2 6 2" xfId="21595"/>
    <cellStyle name="Normal 7 5 4 2 7" xfId="21596"/>
    <cellStyle name="Normal 7 5 4 2 7 2" xfId="36868"/>
    <cellStyle name="Normal 7 5 4 2 8" xfId="21597"/>
    <cellStyle name="Normal 7 5 4 3" xfId="21598"/>
    <cellStyle name="Normal 7 5 4 3 2" xfId="21599"/>
    <cellStyle name="Normal 7 5 4 3 2 2" xfId="21600"/>
    <cellStyle name="Normal 7 5 4 3 2 2 2" xfId="21601"/>
    <cellStyle name="Normal 7 5 4 3 2 2 3" xfId="21602"/>
    <cellStyle name="Normal 7 5 4 3 2 3" xfId="21603"/>
    <cellStyle name="Normal 7 5 4 3 2 3 2" xfId="21604"/>
    <cellStyle name="Normal 7 5 4 3 2 4" xfId="21605"/>
    <cellStyle name="Normal 7 5 4 3 3" xfId="21606"/>
    <cellStyle name="Normal 7 5 4 3 3 2" xfId="21607"/>
    <cellStyle name="Normal 7 5 4 3 3 2 2" xfId="21608"/>
    <cellStyle name="Normal 7 5 4 3 3 3" xfId="21609"/>
    <cellStyle name="Normal 7 5 4 3 4" xfId="21610"/>
    <cellStyle name="Normal 7 5 4 3 4 2" xfId="21611"/>
    <cellStyle name="Normal 7 5 4 3 4 3" xfId="21612"/>
    <cellStyle name="Normal 7 5 4 3 5" xfId="21613"/>
    <cellStyle name="Normal 7 5 4 3 5 2" xfId="21614"/>
    <cellStyle name="Normal 7 5 4 3 6" xfId="21615"/>
    <cellStyle name="Normal 7 5 4 3 6 2" xfId="36869"/>
    <cellStyle name="Normal 7 5 4 3 7" xfId="21616"/>
    <cellStyle name="Normal 7 5 4 4" xfId="21617"/>
    <cellStyle name="Normal 7 5 4 4 2" xfId="21618"/>
    <cellStyle name="Normal 7 5 4 4 2 2" xfId="21619"/>
    <cellStyle name="Normal 7 5 4 4 2 2 2" xfId="21620"/>
    <cellStyle name="Normal 7 5 4 4 2 3" xfId="21621"/>
    <cellStyle name="Normal 7 5 4 4 3" xfId="21622"/>
    <cellStyle name="Normal 7 5 4 4 3 2" xfId="21623"/>
    <cellStyle name="Normal 7 5 4 4 4" xfId="21624"/>
    <cellStyle name="Normal 7 5 4 5" xfId="21625"/>
    <cellStyle name="Normal 7 5 4 5 2" xfId="21626"/>
    <cellStyle name="Normal 7 5 4 5 2 2" xfId="21627"/>
    <cellStyle name="Normal 7 5 4 5 3" xfId="21628"/>
    <cellStyle name="Normal 7 5 4 6" xfId="21629"/>
    <cellStyle name="Normal 7 5 4 6 2" xfId="21630"/>
    <cellStyle name="Normal 7 5 4 6 2 2" xfId="21631"/>
    <cellStyle name="Normal 7 5 4 6 3" xfId="21632"/>
    <cellStyle name="Normal 7 5 4 7" xfId="21633"/>
    <cellStyle name="Normal 7 5 4 7 2" xfId="21634"/>
    <cellStyle name="Normal 7 5 4 8" xfId="21635"/>
    <cellStyle name="Normal 7 5 4 8 2" xfId="36870"/>
    <cellStyle name="Normal 7 5 4 9" xfId="21636"/>
    <cellStyle name="Normal 7 5 5" xfId="21637"/>
    <cellStyle name="Normal 7 5 5 2" xfId="21638"/>
    <cellStyle name="Normal 7 5 5 2 2" xfId="21639"/>
    <cellStyle name="Normal 7 5 5 2 2 2" xfId="21640"/>
    <cellStyle name="Normal 7 5 5 2 2 2 2" xfId="21641"/>
    <cellStyle name="Normal 7 5 5 2 2 2 3" xfId="21642"/>
    <cellStyle name="Normal 7 5 5 2 2 3" xfId="21643"/>
    <cellStyle name="Normal 7 5 5 2 2 3 2" xfId="21644"/>
    <cellStyle name="Normal 7 5 5 2 2 4" xfId="21645"/>
    <cellStyle name="Normal 7 5 5 2 3" xfId="21646"/>
    <cellStyle name="Normal 7 5 5 2 3 2" xfId="21647"/>
    <cellStyle name="Normal 7 5 5 2 3 2 2" xfId="21648"/>
    <cellStyle name="Normal 7 5 5 2 3 3" xfId="21649"/>
    <cellStyle name="Normal 7 5 5 2 4" xfId="21650"/>
    <cellStyle name="Normal 7 5 5 2 4 2" xfId="21651"/>
    <cellStyle name="Normal 7 5 5 2 4 3" xfId="21652"/>
    <cellStyle name="Normal 7 5 5 2 5" xfId="21653"/>
    <cellStyle name="Normal 7 5 5 2 5 2" xfId="21654"/>
    <cellStyle name="Normal 7 5 5 2 6" xfId="21655"/>
    <cellStyle name="Normal 7 5 5 2 6 2" xfId="36871"/>
    <cellStyle name="Normal 7 5 5 2 7" xfId="21656"/>
    <cellStyle name="Normal 7 5 5 3" xfId="21657"/>
    <cellStyle name="Normal 7 5 5 3 2" xfId="21658"/>
    <cellStyle name="Normal 7 5 5 3 2 2" xfId="21659"/>
    <cellStyle name="Normal 7 5 5 3 2 2 2" xfId="21660"/>
    <cellStyle name="Normal 7 5 5 3 2 3" xfId="21661"/>
    <cellStyle name="Normal 7 5 5 3 3" xfId="21662"/>
    <cellStyle name="Normal 7 5 5 3 3 2" xfId="21663"/>
    <cellStyle name="Normal 7 5 5 3 4" xfId="21664"/>
    <cellStyle name="Normal 7 5 5 4" xfId="21665"/>
    <cellStyle name="Normal 7 5 5 4 2" xfId="21666"/>
    <cellStyle name="Normal 7 5 5 4 2 2" xfId="21667"/>
    <cellStyle name="Normal 7 5 5 4 3" xfId="21668"/>
    <cellStyle name="Normal 7 5 5 5" xfId="21669"/>
    <cellStyle name="Normal 7 5 5 5 2" xfId="21670"/>
    <cellStyle name="Normal 7 5 5 5 2 2" xfId="21671"/>
    <cellStyle name="Normal 7 5 5 5 3" xfId="21672"/>
    <cellStyle name="Normal 7 5 5 6" xfId="21673"/>
    <cellStyle name="Normal 7 5 5 6 2" xfId="21674"/>
    <cellStyle name="Normal 7 5 5 7" xfId="21675"/>
    <cellStyle name="Normal 7 5 5 7 2" xfId="36872"/>
    <cellStyle name="Normal 7 5 5 8" xfId="21676"/>
    <cellStyle name="Normal 7 5 6" xfId="21677"/>
    <cellStyle name="Normal 7 5 6 2" xfId="21678"/>
    <cellStyle name="Normal 7 5 6 2 2" xfId="21679"/>
    <cellStyle name="Normal 7 5 6 2 2 2" xfId="21680"/>
    <cellStyle name="Normal 7 5 6 2 2 2 2" xfId="21681"/>
    <cellStyle name="Normal 7 5 6 2 2 2 3" xfId="21682"/>
    <cellStyle name="Normal 7 5 6 2 2 3" xfId="21683"/>
    <cellStyle name="Normal 7 5 6 2 2 3 2" xfId="21684"/>
    <cellStyle name="Normal 7 5 6 2 2 4" xfId="21685"/>
    <cellStyle name="Normal 7 5 6 2 3" xfId="21686"/>
    <cellStyle name="Normal 7 5 6 2 3 2" xfId="21687"/>
    <cellStyle name="Normal 7 5 6 2 3 2 2" xfId="21688"/>
    <cellStyle name="Normal 7 5 6 2 3 3" xfId="21689"/>
    <cellStyle name="Normal 7 5 6 2 4" xfId="21690"/>
    <cellStyle name="Normal 7 5 6 2 4 2" xfId="21691"/>
    <cellStyle name="Normal 7 5 6 2 4 3" xfId="21692"/>
    <cellStyle name="Normal 7 5 6 2 5" xfId="21693"/>
    <cellStyle name="Normal 7 5 6 2 5 2" xfId="21694"/>
    <cellStyle name="Normal 7 5 6 2 6" xfId="21695"/>
    <cellStyle name="Normal 7 5 6 2 6 2" xfId="36873"/>
    <cellStyle name="Normal 7 5 6 2 7" xfId="21696"/>
    <cellStyle name="Normal 7 5 6 3" xfId="21697"/>
    <cellStyle name="Normal 7 5 6 3 2" xfId="21698"/>
    <cellStyle name="Normal 7 5 6 3 2 2" xfId="21699"/>
    <cellStyle name="Normal 7 5 6 3 2 2 2" xfId="21700"/>
    <cellStyle name="Normal 7 5 6 3 2 3" xfId="21701"/>
    <cellStyle name="Normal 7 5 6 3 3" xfId="21702"/>
    <cellStyle name="Normal 7 5 6 3 3 2" xfId="21703"/>
    <cellStyle name="Normal 7 5 6 3 4" xfId="21704"/>
    <cellStyle name="Normal 7 5 6 4" xfId="21705"/>
    <cellStyle name="Normal 7 5 6 4 2" xfId="21706"/>
    <cellStyle name="Normal 7 5 6 4 2 2" xfId="21707"/>
    <cellStyle name="Normal 7 5 6 4 3" xfId="21708"/>
    <cellStyle name="Normal 7 5 6 5" xfId="21709"/>
    <cellStyle name="Normal 7 5 6 5 2" xfId="21710"/>
    <cellStyle name="Normal 7 5 6 5 2 2" xfId="21711"/>
    <cellStyle name="Normal 7 5 6 5 3" xfId="21712"/>
    <cellStyle name="Normal 7 5 6 6" xfId="21713"/>
    <cellStyle name="Normal 7 5 6 6 2" xfId="21714"/>
    <cellStyle name="Normal 7 5 6 7" xfId="21715"/>
    <cellStyle name="Normal 7 5 6 7 2" xfId="36874"/>
    <cellStyle name="Normal 7 5 6 8" xfId="21716"/>
    <cellStyle name="Normal 7 5 7" xfId="21717"/>
    <cellStyle name="Normal 7 5 7 2" xfId="21718"/>
    <cellStyle name="Normal 7 5 7 2 2" xfId="21719"/>
    <cellStyle name="Normal 7 5 7 2 2 2" xfId="21720"/>
    <cellStyle name="Normal 7 5 7 2 2 2 2" xfId="21721"/>
    <cellStyle name="Normal 7 5 7 2 2 2 3" xfId="21722"/>
    <cellStyle name="Normal 7 5 7 2 2 3" xfId="21723"/>
    <cellStyle name="Normal 7 5 7 2 2 3 2" xfId="21724"/>
    <cellStyle name="Normal 7 5 7 2 2 4" xfId="21725"/>
    <cellStyle name="Normal 7 5 7 2 3" xfId="21726"/>
    <cellStyle name="Normal 7 5 7 2 3 2" xfId="21727"/>
    <cellStyle name="Normal 7 5 7 2 3 2 2" xfId="21728"/>
    <cellStyle name="Normal 7 5 7 2 3 3" xfId="21729"/>
    <cellStyle name="Normal 7 5 7 2 4" xfId="21730"/>
    <cellStyle name="Normal 7 5 7 2 4 2" xfId="21731"/>
    <cellStyle name="Normal 7 5 7 2 4 3" xfId="21732"/>
    <cellStyle name="Normal 7 5 7 2 5" xfId="21733"/>
    <cellStyle name="Normal 7 5 7 2 5 2" xfId="21734"/>
    <cellStyle name="Normal 7 5 7 2 6" xfId="21735"/>
    <cellStyle name="Normal 7 5 7 2 6 2" xfId="36875"/>
    <cellStyle name="Normal 7 5 7 2 7" xfId="21736"/>
    <cellStyle name="Normal 7 5 7 3" xfId="21737"/>
    <cellStyle name="Normal 7 5 7 3 2" xfId="21738"/>
    <cellStyle name="Normal 7 5 7 3 2 2" xfId="21739"/>
    <cellStyle name="Normal 7 5 7 3 2 2 2" xfId="21740"/>
    <cellStyle name="Normal 7 5 7 3 2 3" xfId="21741"/>
    <cellStyle name="Normal 7 5 7 3 3" xfId="21742"/>
    <cellStyle name="Normal 7 5 7 3 3 2" xfId="21743"/>
    <cellStyle name="Normal 7 5 7 3 4" xfId="21744"/>
    <cellStyle name="Normal 7 5 7 4" xfId="21745"/>
    <cellStyle name="Normal 7 5 7 4 2" xfId="21746"/>
    <cellStyle name="Normal 7 5 7 4 2 2" xfId="21747"/>
    <cellStyle name="Normal 7 5 7 4 3" xfId="21748"/>
    <cellStyle name="Normal 7 5 7 5" xfId="21749"/>
    <cellStyle name="Normal 7 5 7 5 2" xfId="21750"/>
    <cellStyle name="Normal 7 5 7 5 2 2" xfId="21751"/>
    <cellStyle name="Normal 7 5 7 5 3" xfId="21752"/>
    <cellStyle name="Normal 7 5 7 6" xfId="21753"/>
    <cellStyle name="Normal 7 5 7 6 2" xfId="21754"/>
    <cellStyle name="Normal 7 5 7 7" xfId="21755"/>
    <cellStyle name="Normal 7 5 7 7 2" xfId="36876"/>
    <cellStyle name="Normal 7 5 7 8" xfId="21756"/>
    <cellStyle name="Normal 7 5 8" xfId="21757"/>
    <cellStyle name="Normal 7 5 8 2" xfId="21758"/>
    <cellStyle name="Normal 7 5 8 2 2" xfId="21759"/>
    <cellStyle name="Normal 7 5 8 2 2 2" xfId="21760"/>
    <cellStyle name="Normal 7 5 8 2 2 3" xfId="21761"/>
    <cellStyle name="Normal 7 5 8 2 3" xfId="21762"/>
    <cellStyle name="Normal 7 5 8 2 3 2" xfId="21763"/>
    <cellStyle name="Normal 7 5 8 2 4" xfId="21764"/>
    <cellStyle name="Normal 7 5 8 3" xfId="21765"/>
    <cellStyle name="Normal 7 5 8 3 2" xfId="21766"/>
    <cellStyle name="Normal 7 5 8 3 2 2" xfId="21767"/>
    <cellStyle name="Normal 7 5 8 3 3" xfId="21768"/>
    <cellStyle name="Normal 7 5 8 4" xfId="21769"/>
    <cellStyle name="Normal 7 5 8 4 2" xfId="21770"/>
    <cellStyle name="Normal 7 5 8 4 3" xfId="21771"/>
    <cellStyle name="Normal 7 5 8 5" xfId="21772"/>
    <cellStyle name="Normal 7 5 8 5 2" xfId="21773"/>
    <cellStyle name="Normal 7 5 8 6" xfId="21774"/>
    <cellStyle name="Normal 7 5 8 6 2" xfId="36877"/>
    <cellStyle name="Normal 7 5 8 7" xfId="21775"/>
    <cellStyle name="Normal 7 5 9" xfId="21776"/>
    <cellStyle name="Normal 7 5 9 2" xfId="21777"/>
    <cellStyle name="Normal 7 5 9 2 2" xfId="21778"/>
    <cellStyle name="Normal 7 5 9 2 2 2" xfId="21779"/>
    <cellStyle name="Normal 7 5 9 2 3" xfId="21780"/>
    <cellStyle name="Normal 7 5 9 3" xfId="21781"/>
    <cellStyle name="Normal 7 5 9 3 2" xfId="21782"/>
    <cellStyle name="Normal 7 5 9 4" xfId="21783"/>
    <cellStyle name="Normal 7 6" xfId="21784"/>
    <cellStyle name="Normal 7 6 10" xfId="21785"/>
    <cellStyle name="Normal 7 6 10 2" xfId="21786"/>
    <cellStyle name="Normal 7 6 10 2 2" xfId="21787"/>
    <cellStyle name="Normal 7 6 10 3" xfId="21788"/>
    <cellStyle name="Normal 7 6 11" xfId="21789"/>
    <cellStyle name="Normal 7 6 11 2" xfId="21790"/>
    <cellStyle name="Normal 7 6 12" xfId="21791"/>
    <cellStyle name="Normal 7 6 12 2" xfId="36878"/>
    <cellStyle name="Normal 7 6 13" xfId="21792"/>
    <cellStyle name="Normal 7 6 2" xfId="21793"/>
    <cellStyle name="Normal 7 6 2 10" xfId="21794"/>
    <cellStyle name="Normal 7 6 2 2" xfId="21795"/>
    <cellStyle name="Normal 7 6 2 2 2" xfId="21796"/>
    <cellStyle name="Normal 7 6 2 2 2 2" xfId="21797"/>
    <cellStyle name="Normal 7 6 2 2 2 2 2" xfId="21798"/>
    <cellStyle name="Normal 7 6 2 2 2 2 2 2" xfId="21799"/>
    <cellStyle name="Normal 7 6 2 2 2 2 2 2 2" xfId="21800"/>
    <cellStyle name="Normal 7 6 2 2 2 2 2 2 3" xfId="21801"/>
    <cellStyle name="Normal 7 6 2 2 2 2 2 3" xfId="21802"/>
    <cellStyle name="Normal 7 6 2 2 2 2 2 3 2" xfId="21803"/>
    <cellStyle name="Normal 7 6 2 2 2 2 2 4" xfId="21804"/>
    <cellStyle name="Normal 7 6 2 2 2 2 3" xfId="21805"/>
    <cellStyle name="Normal 7 6 2 2 2 2 3 2" xfId="21806"/>
    <cellStyle name="Normal 7 6 2 2 2 2 3 2 2" xfId="21807"/>
    <cellStyle name="Normal 7 6 2 2 2 2 3 3" xfId="21808"/>
    <cellStyle name="Normal 7 6 2 2 2 2 4" xfId="21809"/>
    <cellStyle name="Normal 7 6 2 2 2 2 4 2" xfId="21810"/>
    <cellStyle name="Normal 7 6 2 2 2 2 4 3" xfId="21811"/>
    <cellStyle name="Normal 7 6 2 2 2 2 5" xfId="21812"/>
    <cellStyle name="Normal 7 6 2 2 2 2 5 2" xfId="21813"/>
    <cellStyle name="Normal 7 6 2 2 2 2 6" xfId="21814"/>
    <cellStyle name="Normal 7 6 2 2 2 2 6 2" xfId="36879"/>
    <cellStyle name="Normal 7 6 2 2 2 2 7" xfId="21815"/>
    <cellStyle name="Normal 7 6 2 2 2 3" xfId="21816"/>
    <cellStyle name="Normal 7 6 2 2 2 3 2" xfId="21817"/>
    <cellStyle name="Normal 7 6 2 2 2 3 2 2" xfId="21818"/>
    <cellStyle name="Normal 7 6 2 2 2 3 2 2 2" xfId="21819"/>
    <cellStyle name="Normal 7 6 2 2 2 3 2 3" xfId="21820"/>
    <cellStyle name="Normal 7 6 2 2 2 3 3" xfId="21821"/>
    <cellStyle name="Normal 7 6 2 2 2 3 3 2" xfId="21822"/>
    <cellStyle name="Normal 7 6 2 2 2 3 4" xfId="21823"/>
    <cellStyle name="Normal 7 6 2 2 2 4" xfId="21824"/>
    <cellStyle name="Normal 7 6 2 2 2 4 2" xfId="21825"/>
    <cellStyle name="Normal 7 6 2 2 2 4 2 2" xfId="21826"/>
    <cellStyle name="Normal 7 6 2 2 2 4 3" xfId="21827"/>
    <cellStyle name="Normal 7 6 2 2 2 5" xfId="21828"/>
    <cellStyle name="Normal 7 6 2 2 2 5 2" xfId="21829"/>
    <cellStyle name="Normal 7 6 2 2 2 5 2 2" xfId="21830"/>
    <cellStyle name="Normal 7 6 2 2 2 5 3" xfId="21831"/>
    <cellStyle name="Normal 7 6 2 2 2 6" xfId="21832"/>
    <cellStyle name="Normal 7 6 2 2 2 6 2" xfId="21833"/>
    <cellStyle name="Normal 7 6 2 2 2 7" xfId="21834"/>
    <cellStyle name="Normal 7 6 2 2 2 7 2" xfId="36880"/>
    <cellStyle name="Normal 7 6 2 2 2 8" xfId="21835"/>
    <cellStyle name="Normal 7 6 2 2 3" xfId="21836"/>
    <cellStyle name="Normal 7 6 2 2 3 2" xfId="21837"/>
    <cellStyle name="Normal 7 6 2 2 3 2 2" xfId="21838"/>
    <cellStyle name="Normal 7 6 2 2 3 2 2 2" xfId="21839"/>
    <cellStyle name="Normal 7 6 2 2 3 2 2 3" xfId="21840"/>
    <cellStyle name="Normal 7 6 2 2 3 2 3" xfId="21841"/>
    <cellStyle name="Normal 7 6 2 2 3 2 3 2" xfId="21842"/>
    <cellStyle name="Normal 7 6 2 2 3 2 4" xfId="21843"/>
    <cellStyle name="Normal 7 6 2 2 3 3" xfId="21844"/>
    <cellStyle name="Normal 7 6 2 2 3 3 2" xfId="21845"/>
    <cellStyle name="Normal 7 6 2 2 3 3 2 2" xfId="21846"/>
    <cellStyle name="Normal 7 6 2 2 3 3 3" xfId="21847"/>
    <cellStyle name="Normal 7 6 2 2 3 4" xfId="21848"/>
    <cellStyle name="Normal 7 6 2 2 3 4 2" xfId="21849"/>
    <cellStyle name="Normal 7 6 2 2 3 4 3" xfId="21850"/>
    <cellStyle name="Normal 7 6 2 2 3 5" xfId="21851"/>
    <cellStyle name="Normal 7 6 2 2 3 5 2" xfId="21852"/>
    <cellStyle name="Normal 7 6 2 2 3 6" xfId="21853"/>
    <cellStyle name="Normal 7 6 2 2 3 6 2" xfId="36881"/>
    <cellStyle name="Normal 7 6 2 2 3 7" xfId="21854"/>
    <cellStyle name="Normal 7 6 2 2 4" xfId="21855"/>
    <cellStyle name="Normal 7 6 2 2 4 2" xfId="21856"/>
    <cellStyle name="Normal 7 6 2 2 4 2 2" xfId="21857"/>
    <cellStyle name="Normal 7 6 2 2 4 2 2 2" xfId="21858"/>
    <cellStyle name="Normal 7 6 2 2 4 2 3" xfId="21859"/>
    <cellStyle name="Normal 7 6 2 2 4 3" xfId="21860"/>
    <cellStyle name="Normal 7 6 2 2 4 3 2" xfId="21861"/>
    <cellStyle name="Normal 7 6 2 2 4 4" xfId="21862"/>
    <cellStyle name="Normal 7 6 2 2 5" xfId="21863"/>
    <cellStyle name="Normal 7 6 2 2 5 2" xfId="21864"/>
    <cellStyle name="Normal 7 6 2 2 5 2 2" xfId="21865"/>
    <cellStyle name="Normal 7 6 2 2 5 3" xfId="21866"/>
    <cellStyle name="Normal 7 6 2 2 6" xfId="21867"/>
    <cellStyle name="Normal 7 6 2 2 6 2" xfId="21868"/>
    <cellStyle name="Normal 7 6 2 2 6 2 2" xfId="21869"/>
    <cellStyle name="Normal 7 6 2 2 6 3" xfId="21870"/>
    <cellStyle name="Normal 7 6 2 2 7" xfId="21871"/>
    <cellStyle name="Normal 7 6 2 2 7 2" xfId="21872"/>
    <cellStyle name="Normal 7 6 2 2 8" xfId="21873"/>
    <cellStyle name="Normal 7 6 2 2 8 2" xfId="36882"/>
    <cellStyle name="Normal 7 6 2 2 9" xfId="21874"/>
    <cellStyle name="Normal 7 6 2 3" xfId="21875"/>
    <cellStyle name="Normal 7 6 2 3 2" xfId="21876"/>
    <cellStyle name="Normal 7 6 2 3 2 2" xfId="21877"/>
    <cellStyle name="Normal 7 6 2 3 2 2 2" xfId="21878"/>
    <cellStyle name="Normal 7 6 2 3 2 2 2 2" xfId="21879"/>
    <cellStyle name="Normal 7 6 2 3 2 2 2 3" xfId="21880"/>
    <cellStyle name="Normal 7 6 2 3 2 2 3" xfId="21881"/>
    <cellStyle name="Normal 7 6 2 3 2 2 3 2" xfId="21882"/>
    <cellStyle name="Normal 7 6 2 3 2 2 4" xfId="21883"/>
    <cellStyle name="Normal 7 6 2 3 2 3" xfId="21884"/>
    <cellStyle name="Normal 7 6 2 3 2 3 2" xfId="21885"/>
    <cellStyle name="Normal 7 6 2 3 2 3 2 2" xfId="21886"/>
    <cellStyle name="Normal 7 6 2 3 2 3 3" xfId="21887"/>
    <cellStyle name="Normal 7 6 2 3 2 4" xfId="21888"/>
    <cellStyle name="Normal 7 6 2 3 2 4 2" xfId="21889"/>
    <cellStyle name="Normal 7 6 2 3 2 4 3" xfId="21890"/>
    <cellStyle name="Normal 7 6 2 3 2 5" xfId="21891"/>
    <cellStyle name="Normal 7 6 2 3 2 5 2" xfId="21892"/>
    <cellStyle name="Normal 7 6 2 3 2 6" xfId="21893"/>
    <cellStyle name="Normal 7 6 2 3 2 6 2" xfId="36883"/>
    <cellStyle name="Normal 7 6 2 3 2 7" xfId="21894"/>
    <cellStyle name="Normal 7 6 2 3 3" xfId="21895"/>
    <cellStyle name="Normal 7 6 2 3 3 2" xfId="21896"/>
    <cellStyle name="Normal 7 6 2 3 3 2 2" xfId="21897"/>
    <cellStyle name="Normal 7 6 2 3 3 2 2 2" xfId="21898"/>
    <cellStyle name="Normal 7 6 2 3 3 2 3" xfId="21899"/>
    <cellStyle name="Normal 7 6 2 3 3 3" xfId="21900"/>
    <cellStyle name="Normal 7 6 2 3 3 3 2" xfId="21901"/>
    <cellStyle name="Normal 7 6 2 3 3 4" xfId="21902"/>
    <cellStyle name="Normal 7 6 2 3 4" xfId="21903"/>
    <cellStyle name="Normal 7 6 2 3 4 2" xfId="21904"/>
    <cellStyle name="Normal 7 6 2 3 4 2 2" xfId="21905"/>
    <cellStyle name="Normal 7 6 2 3 4 3" xfId="21906"/>
    <cellStyle name="Normal 7 6 2 3 5" xfId="21907"/>
    <cellStyle name="Normal 7 6 2 3 5 2" xfId="21908"/>
    <cellStyle name="Normal 7 6 2 3 5 2 2" xfId="21909"/>
    <cellStyle name="Normal 7 6 2 3 5 3" xfId="21910"/>
    <cellStyle name="Normal 7 6 2 3 6" xfId="21911"/>
    <cellStyle name="Normal 7 6 2 3 6 2" xfId="21912"/>
    <cellStyle name="Normal 7 6 2 3 7" xfId="21913"/>
    <cellStyle name="Normal 7 6 2 3 7 2" xfId="36884"/>
    <cellStyle name="Normal 7 6 2 3 8" xfId="21914"/>
    <cellStyle name="Normal 7 6 2 4" xfId="21915"/>
    <cellStyle name="Normal 7 6 2 4 2" xfId="21916"/>
    <cellStyle name="Normal 7 6 2 4 2 2" xfId="21917"/>
    <cellStyle name="Normal 7 6 2 4 2 2 2" xfId="21918"/>
    <cellStyle name="Normal 7 6 2 4 2 2 3" xfId="21919"/>
    <cellStyle name="Normal 7 6 2 4 2 3" xfId="21920"/>
    <cellStyle name="Normal 7 6 2 4 2 3 2" xfId="21921"/>
    <cellStyle name="Normal 7 6 2 4 2 4" xfId="21922"/>
    <cellStyle name="Normal 7 6 2 4 3" xfId="21923"/>
    <cellStyle name="Normal 7 6 2 4 3 2" xfId="21924"/>
    <cellStyle name="Normal 7 6 2 4 3 2 2" xfId="21925"/>
    <cellStyle name="Normal 7 6 2 4 3 3" xfId="21926"/>
    <cellStyle name="Normal 7 6 2 4 4" xfId="21927"/>
    <cellStyle name="Normal 7 6 2 4 4 2" xfId="21928"/>
    <cellStyle name="Normal 7 6 2 4 4 3" xfId="21929"/>
    <cellStyle name="Normal 7 6 2 4 5" xfId="21930"/>
    <cellStyle name="Normal 7 6 2 4 5 2" xfId="21931"/>
    <cellStyle name="Normal 7 6 2 4 6" xfId="21932"/>
    <cellStyle name="Normal 7 6 2 4 6 2" xfId="36885"/>
    <cellStyle name="Normal 7 6 2 4 7" xfId="21933"/>
    <cellStyle name="Normal 7 6 2 5" xfId="21934"/>
    <cellStyle name="Normal 7 6 2 5 2" xfId="21935"/>
    <cellStyle name="Normal 7 6 2 5 2 2" xfId="21936"/>
    <cellStyle name="Normal 7 6 2 5 2 2 2" xfId="21937"/>
    <cellStyle name="Normal 7 6 2 5 2 3" xfId="21938"/>
    <cellStyle name="Normal 7 6 2 5 3" xfId="21939"/>
    <cellStyle name="Normal 7 6 2 5 3 2" xfId="21940"/>
    <cellStyle name="Normal 7 6 2 5 4" xfId="21941"/>
    <cellStyle name="Normal 7 6 2 6" xfId="21942"/>
    <cellStyle name="Normal 7 6 2 6 2" xfId="21943"/>
    <cellStyle name="Normal 7 6 2 6 2 2" xfId="21944"/>
    <cellStyle name="Normal 7 6 2 6 3" xfId="21945"/>
    <cellStyle name="Normal 7 6 2 7" xfId="21946"/>
    <cellStyle name="Normal 7 6 2 7 2" xfId="21947"/>
    <cellStyle name="Normal 7 6 2 7 2 2" xfId="21948"/>
    <cellStyle name="Normal 7 6 2 7 3" xfId="21949"/>
    <cellStyle name="Normal 7 6 2 8" xfId="21950"/>
    <cellStyle name="Normal 7 6 2 8 2" xfId="21951"/>
    <cellStyle name="Normal 7 6 2 9" xfId="21952"/>
    <cellStyle name="Normal 7 6 2 9 2" xfId="36886"/>
    <cellStyle name="Normal 7 6 3" xfId="21953"/>
    <cellStyle name="Normal 7 6 3 2" xfId="21954"/>
    <cellStyle name="Normal 7 6 3 2 2" xfId="21955"/>
    <cellStyle name="Normal 7 6 3 2 2 2" xfId="21956"/>
    <cellStyle name="Normal 7 6 3 2 2 2 2" xfId="21957"/>
    <cellStyle name="Normal 7 6 3 2 2 2 2 2" xfId="21958"/>
    <cellStyle name="Normal 7 6 3 2 2 2 2 3" xfId="21959"/>
    <cellStyle name="Normal 7 6 3 2 2 2 3" xfId="21960"/>
    <cellStyle name="Normal 7 6 3 2 2 2 3 2" xfId="21961"/>
    <cellStyle name="Normal 7 6 3 2 2 2 4" xfId="21962"/>
    <cellStyle name="Normal 7 6 3 2 2 3" xfId="21963"/>
    <cellStyle name="Normal 7 6 3 2 2 3 2" xfId="21964"/>
    <cellStyle name="Normal 7 6 3 2 2 3 2 2" xfId="21965"/>
    <cellStyle name="Normal 7 6 3 2 2 3 3" xfId="21966"/>
    <cellStyle name="Normal 7 6 3 2 2 4" xfId="21967"/>
    <cellStyle name="Normal 7 6 3 2 2 4 2" xfId="21968"/>
    <cellStyle name="Normal 7 6 3 2 2 4 3" xfId="21969"/>
    <cellStyle name="Normal 7 6 3 2 2 5" xfId="21970"/>
    <cellStyle name="Normal 7 6 3 2 2 5 2" xfId="21971"/>
    <cellStyle name="Normal 7 6 3 2 2 6" xfId="21972"/>
    <cellStyle name="Normal 7 6 3 2 2 6 2" xfId="36887"/>
    <cellStyle name="Normal 7 6 3 2 2 7" xfId="21973"/>
    <cellStyle name="Normal 7 6 3 2 3" xfId="21974"/>
    <cellStyle name="Normal 7 6 3 2 3 2" xfId="21975"/>
    <cellStyle name="Normal 7 6 3 2 3 2 2" xfId="21976"/>
    <cellStyle name="Normal 7 6 3 2 3 2 2 2" xfId="21977"/>
    <cellStyle name="Normal 7 6 3 2 3 2 3" xfId="21978"/>
    <cellStyle name="Normal 7 6 3 2 3 3" xfId="21979"/>
    <cellStyle name="Normal 7 6 3 2 3 3 2" xfId="21980"/>
    <cellStyle name="Normal 7 6 3 2 3 4" xfId="21981"/>
    <cellStyle name="Normal 7 6 3 2 4" xfId="21982"/>
    <cellStyle name="Normal 7 6 3 2 4 2" xfId="21983"/>
    <cellStyle name="Normal 7 6 3 2 4 2 2" xfId="21984"/>
    <cellStyle name="Normal 7 6 3 2 4 3" xfId="21985"/>
    <cellStyle name="Normal 7 6 3 2 5" xfId="21986"/>
    <cellStyle name="Normal 7 6 3 2 5 2" xfId="21987"/>
    <cellStyle name="Normal 7 6 3 2 5 2 2" xfId="21988"/>
    <cellStyle name="Normal 7 6 3 2 5 3" xfId="21989"/>
    <cellStyle name="Normal 7 6 3 2 6" xfId="21990"/>
    <cellStyle name="Normal 7 6 3 2 6 2" xfId="21991"/>
    <cellStyle name="Normal 7 6 3 2 7" xfId="21992"/>
    <cellStyle name="Normal 7 6 3 2 7 2" xfId="36888"/>
    <cellStyle name="Normal 7 6 3 2 8" xfId="21993"/>
    <cellStyle name="Normal 7 6 3 3" xfId="21994"/>
    <cellStyle name="Normal 7 6 3 3 2" xfId="21995"/>
    <cellStyle name="Normal 7 6 3 3 2 2" xfId="21996"/>
    <cellStyle name="Normal 7 6 3 3 2 2 2" xfId="21997"/>
    <cellStyle name="Normal 7 6 3 3 2 2 3" xfId="21998"/>
    <cellStyle name="Normal 7 6 3 3 2 3" xfId="21999"/>
    <cellStyle name="Normal 7 6 3 3 2 3 2" xfId="22000"/>
    <cellStyle name="Normal 7 6 3 3 2 4" xfId="22001"/>
    <cellStyle name="Normal 7 6 3 3 3" xfId="22002"/>
    <cellStyle name="Normal 7 6 3 3 3 2" xfId="22003"/>
    <cellStyle name="Normal 7 6 3 3 3 2 2" xfId="22004"/>
    <cellStyle name="Normal 7 6 3 3 3 3" xfId="22005"/>
    <cellStyle name="Normal 7 6 3 3 4" xfId="22006"/>
    <cellStyle name="Normal 7 6 3 3 4 2" xfId="22007"/>
    <cellStyle name="Normal 7 6 3 3 4 3" xfId="22008"/>
    <cellStyle name="Normal 7 6 3 3 5" xfId="22009"/>
    <cellStyle name="Normal 7 6 3 3 5 2" xfId="22010"/>
    <cellStyle name="Normal 7 6 3 3 6" xfId="22011"/>
    <cellStyle name="Normal 7 6 3 3 6 2" xfId="36889"/>
    <cellStyle name="Normal 7 6 3 3 7" xfId="22012"/>
    <cellStyle name="Normal 7 6 3 4" xfId="22013"/>
    <cellStyle name="Normal 7 6 3 4 2" xfId="22014"/>
    <cellStyle name="Normal 7 6 3 4 2 2" xfId="22015"/>
    <cellStyle name="Normal 7 6 3 4 2 2 2" xfId="22016"/>
    <cellStyle name="Normal 7 6 3 4 2 3" xfId="22017"/>
    <cellStyle name="Normal 7 6 3 4 3" xfId="22018"/>
    <cellStyle name="Normal 7 6 3 4 3 2" xfId="22019"/>
    <cellStyle name="Normal 7 6 3 4 4" xfId="22020"/>
    <cellStyle name="Normal 7 6 3 5" xfId="22021"/>
    <cellStyle name="Normal 7 6 3 5 2" xfId="22022"/>
    <cellStyle name="Normal 7 6 3 5 2 2" xfId="22023"/>
    <cellStyle name="Normal 7 6 3 5 3" xfId="22024"/>
    <cellStyle name="Normal 7 6 3 6" xfId="22025"/>
    <cellStyle name="Normal 7 6 3 6 2" xfId="22026"/>
    <cellStyle name="Normal 7 6 3 6 2 2" xfId="22027"/>
    <cellStyle name="Normal 7 6 3 6 3" xfId="22028"/>
    <cellStyle name="Normal 7 6 3 7" xfId="22029"/>
    <cellStyle name="Normal 7 6 3 7 2" xfId="22030"/>
    <cellStyle name="Normal 7 6 3 8" xfId="22031"/>
    <cellStyle name="Normal 7 6 3 8 2" xfId="36890"/>
    <cellStyle name="Normal 7 6 3 9" xfId="22032"/>
    <cellStyle name="Normal 7 6 4" xfId="22033"/>
    <cellStyle name="Normal 7 6 4 2" xfId="22034"/>
    <cellStyle name="Normal 7 6 4 2 2" xfId="22035"/>
    <cellStyle name="Normal 7 6 4 2 2 2" xfId="22036"/>
    <cellStyle name="Normal 7 6 4 2 2 2 2" xfId="22037"/>
    <cellStyle name="Normal 7 6 4 2 2 2 3" xfId="22038"/>
    <cellStyle name="Normal 7 6 4 2 2 3" xfId="22039"/>
    <cellStyle name="Normal 7 6 4 2 2 3 2" xfId="22040"/>
    <cellStyle name="Normal 7 6 4 2 2 4" xfId="22041"/>
    <cellStyle name="Normal 7 6 4 2 3" xfId="22042"/>
    <cellStyle name="Normal 7 6 4 2 3 2" xfId="22043"/>
    <cellStyle name="Normal 7 6 4 2 3 2 2" xfId="22044"/>
    <cellStyle name="Normal 7 6 4 2 3 3" xfId="22045"/>
    <cellStyle name="Normal 7 6 4 2 4" xfId="22046"/>
    <cellStyle name="Normal 7 6 4 2 4 2" xfId="22047"/>
    <cellStyle name="Normal 7 6 4 2 4 3" xfId="22048"/>
    <cellStyle name="Normal 7 6 4 2 5" xfId="22049"/>
    <cellStyle name="Normal 7 6 4 2 5 2" xfId="22050"/>
    <cellStyle name="Normal 7 6 4 2 6" xfId="22051"/>
    <cellStyle name="Normal 7 6 4 2 6 2" xfId="36891"/>
    <cellStyle name="Normal 7 6 4 2 7" xfId="22052"/>
    <cellStyle name="Normal 7 6 4 3" xfId="22053"/>
    <cellStyle name="Normal 7 6 4 3 2" xfId="22054"/>
    <cellStyle name="Normal 7 6 4 3 2 2" xfId="22055"/>
    <cellStyle name="Normal 7 6 4 3 2 2 2" xfId="22056"/>
    <cellStyle name="Normal 7 6 4 3 2 3" xfId="22057"/>
    <cellStyle name="Normal 7 6 4 3 3" xfId="22058"/>
    <cellStyle name="Normal 7 6 4 3 3 2" xfId="22059"/>
    <cellStyle name="Normal 7 6 4 3 4" xfId="22060"/>
    <cellStyle name="Normal 7 6 4 4" xfId="22061"/>
    <cellStyle name="Normal 7 6 4 4 2" xfId="22062"/>
    <cellStyle name="Normal 7 6 4 4 2 2" xfId="22063"/>
    <cellStyle name="Normal 7 6 4 4 3" xfId="22064"/>
    <cellStyle name="Normal 7 6 4 5" xfId="22065"/>
    <cellStyle name="Normal 7 6 4 5 2" xfId="22066"/>
    <cellStyle name="Normal 7 6 4 5 2 2" xfId="22067"/>
    <cellStyle name="Normal 7 6 4 5 3" xfId="22068"/>
    <cellStyle name="Normal 7 6 4 6" xfId="22069"/>
    <cellStyle name="Normal 7 6 4 6 2" xfId="22070"/>
    <cellStyle name="Normal 7 6 4 7" xfId="22071"/>
    <cellStyle name="Normal 7 6 4 7 2" xfId="36892"/>
    <cellStyle name="Normal 7 6 4 8" xfId="22072"/>
    <cellStyle name="Normal 7 6 5" xfId="22073"/>
    <cellStyle name="Normal 7 6 5 2" xfId="22074"/>
    <cellStyle name="Normal 7 6 5 2 2" xfId="22075"/>
    <cellStyle name="Normal 7 6 5 2 2 2" xfId="22076"/>
    <cellStyle name="Normal 7 6 5 2 2 2 2" xfId="22077"/>
    <cellStyle name="Normal 7 6 5 2 2 2 3" xfId="22078"/>
    <cellStyle name="Normal 7 6 5 2 2 3" xfId="22079"/>
    <cellStyle name="Normal 7 6 5 2 2 3 2" xfId="22080"/>
    <cellStyle name="Normal 7 6 5 2 2 4" xfId="22081"/>
    <cellStyle name="Normal 7 6 5 2 3" xfId="22082"/>
    <cellStyle name="Normal 7 6 5 2 3 2" xfId="22083"/>
    <cellStyle name="Normal 7 6 5 2 3 2 2" xfId="22084"/>
    <cellStyle name="Normal 7 6 5 2 3 3" xfId="22085"/>
    <cellStyle name="Normal 7 6 5 2 4" xfId="22086"/>
    <cellStyle name="Normal 7 6 5 2 4 2" xfId="22087"/>
    <cellStyle name="Normal 7 6 5 2 4 3" xfId="22088"/>
    <cellStyle name="Normal 7 6 5 2 5" xfId="22089"/>
    <cellStyle name="Normal 7 6 5 2 5 2" xfId="22090"/>
    <cellStyle name="Normal 7 6 5 2 6" xfId="22091"/>
    <cellStyle name="Normal 7 6 5 2 6 2" xfId="36893"/>
    <cellStyle name="Normal 7 6 5 2 7" xfId="22092"/>
    <cellStyle name="Normal 7 6 5 3" xfId="22093"/>
    <cellStyle name="Normal 7 6 5 3 2" xfId="22094"/>
    <cellStyle name="Normal 7 6 5 3 2 2" xfId="22095"/>
    <cellStyle name="Normal 7 6 5 3 2 2 2" xfId="22096"/>
    <cellStyle name="Normal 7 6 5 3 2 3" xfId="22097"/>
    <cellStyle name="Normal 7 6 5 3 3" xfId="22098"/>
    <cellStyle name="Normal 7 6 5 3 3 2" xfId="22099"/>
    <cellStyle name="Normal 7 6 5 3 4" xfId="22100"/>
    <cellStyle name="Normal 7 6 5 4" xfId="22101"/>
    <cellStyle name="Normal 7 6 5 4 2" xfId="22102"/>
    <cellStyle name="Normal 7 6 5 4 2 2" xfId="22103"/>
    <cellStyle name="Normal 7 6 5 4 3" xfId="22104"/>
    <cellStyle name="Normal 7 6 5 5" xfId="22105"/>
    <cellStyle name="Normal 7 6 5 5 2" xfId="22106"/>
    <cellStyle name="Normal 7 6 5 5 2 2" xfId="22107"/>
    <cellStyle name="Normal 7 6 5 5 3" xfId="22108"/>
    <cellStyle name="Normal 7 6 5 6" xfId="22109"/>
    <cellStyle name="Normal 7 6 5 6 2" xfId="22110"/>
    <cellStyle name="Normal 7 6 5 7" xfId="22111"/>
    <cellStyle name="Normal 7 6 5 7 2" xfId="36894"/>
    <cellStyle name="Normal 7 6 5 8" xfId="22112"/>
    <cellStyle name="Normal 7 6 6" xfId="22113"/>
    <cellStyle name="Normal 7 6 7" xfId="22114"/>
    <cellStyle name="Normal 7 6 7 2" xfId="22115"/>
    <cellStyle name="Normal 7 6 7 2 2" xfId="22116"/>
    <cellStyle name="Normal 7 6 7 2 2 2" xfId="22117"/>
    <cellStyle name="Normal 7 6 7 2 2 3" xfId="22118"/>
    <cellStyle name="Normal 7 6 7 2 3" xfId="22119"/>
    <cellStyle name="Normal 7 6 7 2 3 2" xfId="22120"/>
    <cellStyle name="Normal 7 6 7 2 4" xfId="22121"/>
    <cellStyle name="Normal 7 6 7 3" xfId="22122"/>
    <cellStyle name="Normal 7 6 7 3 2" xfId="22123"/>
    <cellStyle name="Normal 7 6 7 3 2 2" xfId="22124"/>
    <cellStyle name="Normal 7 6 7 3 3" xfId="22125"/>
    <cellStyle name="Normal 7 6 7 4" xfId="22126"/>
    <cellStyle name="Normal 7 6 7 4 2" xfId="22127"/>
    <cellStyle name="Normal 7 6 7 4 3" xfId="22128"/>
    <cellStyle name="Normal 7 6 7 5" xfId="22129"/>
    <cellStyle name="Normal 7 6 7 5 2" xfId="22130"/>
    <cellStyle name="Normal 7 6 7 6" xfId="22131"/>
    <cellStyle name="Normal 7 6 7 6 2" xfId="36895"/>
    <cellStyle name="Normal 7 6 7 7" xfId="22132"/>
    <cellStyle name="Normal 7 6 8" xfId="22133"/>
    <cellStyle name="Normal 7 6 8 2" xfId="22134"/>
    <cellStyle name="Normal 7 6 8 2 2" xfId="22135"/>
    <cellStyle name="Normal 7 6 8 2 2 2" xfId="22136"/>
    <cellStyle name="Normal 7 6 8 2 3" xfId="22137"/>
    <cellStyle name="Normal 7 6 8 3" xfId="22138"/>
    <cellStyle name="Normal 7 6 8 3 2" xfId="22139"/>
    <cellStyle name="Normal 7 6 8 4" xfId="22140"/>
    <cellStyle name="Normal 7 6 9" xfId="22141"/>
    <cellStyle name="Normal 7 6 9 2" xfId="22142"/>
    <cellStyle name="Normal 7 6 9 2 2" xfId="22143"/>
    <cellStyle name="Normal 7 6 9 3" xfId="22144"/>
    <cellStyle name="Normal 7 7" xfId="22145"/>
    <cellStyle name="Normal 7 7 10" xfId="22146"/>
    <cellStyle name="Normal 7 7 2" xfId="22147"/>
    <cellStyle name="Normal 7 7 2 2" xfId="22148"/>
    <cellStyle name="Normal 7 7 2 2 2" xfId="22149"/>
    <cellStyle name="Normal 7 7 2 2 2 2" xfId="22150"/>
    <cellStyle name="Normal 7 7 2 2 2 2 2" xfId="22151"/>
    <cellStyle name="Normal 7 7 2 2 2 2 2 2" xfId="22152"/>
    <cellStyle name="Normal 7 7 2 2 2 2 2 3" xfId="22153"/>
    <cellStyle name="Normal 7 7 2 2 2 2 3" xfId="22154"/>
    <cellStyle name="Normal 7 7 2 2 2 2 3 2" xfId="22155"/>
    <cellStyle name="Normal 7 7 2 2 2 2 4" xfId="22156"/>
    <cellStyle name="Normal 7 7 2 2 2 3" xfId="22157"/>
    <cellStyle name="Normal 7 7 2 2 2 3 2" xfId="22158"/>
    <cellStyle name="Normal 7 7 2 2 2 3 2 2" xfId="22159"/>
    <cellStyle name="Normal 7 7 2 2 2 3 3" xfId="22160"/>
    <cellStyle name="Normal 7 7 2 2 2 4" xfId="22161"/>
    <cellStyle name="Normal 7 7 2 2 2 4 2" xfId="22162"/>
    <cellStyle name="Normal 7 7 2 2 2 4 3" xfId="22163"/>
    <cellStyle name="Normal 7 7 2 2 2 5" xfId="22164"/>
    <cellStyle name="Normal 7 7 2 2 2 5 2" xfId="22165"/>
    <cellStyle name="Normal 7 7 2 2 2 6" xfId="22166"/>
    <cellStyle name="Normal 7 7 2 2 2 6 2" xfId="36896"/>
    <cellStyle name="Normal 7 7 2 2 2 7" xfId="22167"/>
    <cellStyle name="Normal 7 7 2 2 3" xfId="22168"/>
    <cellStyle name="Normal 7 7 2 2 3 2" xfId="22169"/>
    <cellStyle name="Normal 7 7 2 2 3 2 2" xfId="22170"/>
    <cellStyle name="Normal 7 7 2 2 3 2 2 2" xfId="22171"/>
    <cellStyle name="Normal 7 7 2 2 3 2 3" xfId="22172"/>
    <cellStyle name="Normal 7 7 2 2 3 3" xfId="22173"/>
    <cellStyle name="Normal 7 7 2 2 3 3 2" xfId="22174"/>
    <cellStyle name="Normal 7 7 2 2 3 4" xfId="22175"/>
    <cellStyle name="Normal 7 7 2 2 4" xfId="22176"/>
    <cellStyle name="Normal 7 7 2 2 4 2" xfId="22177"/>
    <cellStyle name="Normal 7 7 2 2 4 2 2" xfId="22178"/>
    <cellStyle name="Normal 7 7 2 2 4 3" xfId="22179"/>
    <cellStyle name="Normal 7 7 2 2 5" xfId="22180"/>
    <cellStyle name="Normal 7 7 2 2 5 2" xfId="22181"/>
    <cellStyle name="Normal 7 7 2 2 5 2 2" xfId="22182"/>
    <cellStyle name="Normal 7 7 2 2 5 3" xfId="22183"/>
    <cellStyle name="Normal 7 7 2 2 6" xfId="22184"/>
    <cellStyle name="Normal 7 7 2 2 6 2" xfId="22185"/>
    <cellStyle name="Normal 7 7 2 2 7" xfId="22186"/>
    <cellStyle name="Normal 7 7 2 2 7 2" xfId="36897"/>
    <cellStyle name="Normal 7 7 2 2 8" xfId="22187"/>
    <cellStyle name="Normal 7 7 2 3" xfId="22188"/>
    <cellStyle name="Normal 7 7 2 3 2" xfId="22189"/>
    <cellStyle name="Normal 7 7 2 3 2 2" xfId="22190"/>
    <cellStyle name="Normal 7 7 2 3 2 2 2" xfId="22191"/>
    <cellStyle name="Normal 7 7 2 3 2 2 3" xfId="22192"/>
    <cellStyle name="Normal 7 7 2 3 2 3" xfId="22193"/>
    <cellStyle name="Normal 7 7 2 3 2 3 2" xfId="22194"/>
    <cellStyle name="Normal 7 7 2 3 2 4" xfId="22195"/>
    <cellStyle name="Normal 7 7 2 3 3" xfId="22196"/>
    <cellStyle name="Normal 7 7 2 3 3 2" xfId="22197"/>
    <cellStyle name="Normal 7 7 2 3 3 2 2" xfId="22198"/>
    <cellStyle name="Normal 7 7 2 3 3 3" xfId="22199"/>
    <cellStyle name="Normal 7 7 2 3 4" xfId="22200"/>
    <cellStyle name="Normal 7 7 2 3 4 2" xfId="22201"/>
    <cellStyle name="Normal 7 7 2 3 4 3" xfId="22202"/>
    <cellStyle name="Normal 7 7 2 3 5" xfId="22203"/>
    <cellStyle name="Normal 7 7 2 3 5 2" xfId="22204"/>
    <cellStyle name="Normal 7 7 2 3 6" xfId="22205"/>
    <cellStyle name="Normal 7 7 2 3 6 2" xfId="36898"/>
    <cellStyle name="Normal 7 7 2 3 7" xfId="22206"/>
    <cellStyle name="Normal 7 7 2 4" xfId="22207"/>
    <cellStyle name="Normal 7 7 2 4 2" xfId="22208"/>
    <cellStyle name="Normal 7 7 2 4 2 2" xfId="22209"/>
    <cellStyle name="Normal 7 7 2 4 2 2 2" xfId="22210"/>
    <cellStyle name="Normal 7 7 2 4 2 3" xfId="22211"/>
    <cellStyle name="Normal 7 7 2 4 3" xfId="22212"/>
    <cellStyle name="Normal 7 7 2 4 3 2" xfId="22213"/>
    <cellStyle name="Normal 7 7 2 4 4" xfId="22214"/>
    <cellStyle name="Normal 7 7 2 5" xfId="22215"/>
    <cellStyle name="Normal 7 7 2 5 2" xfId="22216"/>
    <cellStyle name="Normal 7 7 2 5 2 2" xfId="22217"/>
    <cellStyle name="Normal 7 7 2 5 3" xfId="22218"/>
    <cellStyle name="Normal 7 7 2 6" xfId="22219"/>
    <cellStyle name="Normal 7 7 2 6 2" xfId="22220"/>
    <cellStyle name="Normal 7 7 2 6 2 2" xfId="22221"/>
    <cellStyle name="Normal 7 7 2 6 3" xfId="22222"/>
    <cellStyle name="Normal 7 7 2 7" xfId="22223"/>
    <cellStyle name="Normal 7 7 2 7 2" xfId="22224"/>
    <cellStyle name="Normal 7 7 2 8" xfId="22225"/>
    <cellStyle name="Normal 7 7 2 8 2" xfId="36899"/>
    <cellStyle name="Normal 7 7 2 9" xfId="22226"/>
    <cellStyle name="Normal 7 7 3" xfId="22227"/>
    <cellStyle name="Normal 7 7 3 2" xfId="22228"/>
    <cellStyle name="Normal 7 7 3 2 2" xfId="22229"/>
    <cellStyle name="Normal 7 7 3 2 2 2" xfId="22230"/>
    <cellStyle name="Normal 7 7 3 2 2 2 2" xfId="22231"/>
    <cellStyle name="Normal 7 7 3 2 2 2 3" xfId="22232"/>
    <cellStyle name="Normal 7 7 3 2 2 3" xfId="22233"/>
    <cellStyle name="Normal 7 7 3 2 2 3 2" xfId="22234"/>
    <cellStyle name="Normal 7 7 3 2 2 4" xfId="22235"/>
    <cellStyle name="Normal 7 7 3 2 3" xfId="22236"/>
    <cellStyle name="Normal 7 7 3 2 3 2" xfId="22237"/>
    <cellStyle name="Normal 7 7 3 2 3 2 2" xfId="22238"/>
    <cellStyle name="Normal 7 7 3 2 3 3" xfId="22239"/>
    <cellStyle name="Normal 7 7 3 2 4" xfId="22240"/>
    <cellStyle name="Normal 7 7 3 2 4 2" xfId="22241"/>
    <cellStyle name="Normal 7 7 3 2 4 3" xfId="22242"/>
    <cellStyle name="Normal 7 7 3 2 5" xfId="22243"/>
    <cellStyle name="Normal 7 7 3 2 5 2" xfId="22244"/>
    <cellStyle name="Normal 7 7 3 2 6" xfId="22245"/>
    <cellStyle name="Normal 7 7 3 2 6 2" xfId="36900"/>
    <cellStyle name="Normal 7 7 3 2 7" xfId="22246"/>
    <cellStyle name="Normal 7 7 3 3" xfId="22247"/>
    <cellStyle name="Normal 7 7 3 3 2" xfId="22248"/>
    <cellStyle name="Normal 7 7 3 3 2 2" xfId="22249"/>
    <cellStyle name="Normal 7 7 3 3 2 2 2" xfId="22250"/>
    <cellStyle name="Normal 7 7 3 3 2 3" xfId="22251"/>
    <cellStyle name="Normal 7 7 3 3 3" xfId="22252"/>
    <cellStyle name="Normal 7 7 3 3 3 2" xfId="22253"/>
    <cellStyle name="Normal 7 7 3 3 4" xfId="22254"/>
    <cellStyle name="Normal 7 7 3 4" xfId="22255"/>
    <cellStyle name="Normal 7 7 3 4 2" xfId="22256"/>
    <cellStyle name="Normal 7 7 3 4 2 2" xfId="22257"/>
    <cellStyle name="Normal 7 7 3 4 3" xfId="22258"/>
    <cellStyle name="Normal 7 7 3 5" xfId="22259"/>
    <cellStyle name="Normal 7 7 3 5 2" xfId="22260"/>
    <cellStyle name="Normal 7 7 3 5 2 2" xfId="22261"/>
    <cellStyle name="Normal 7 7 3 5 3" xfId="22262"/>
    <cellStyle name="Normal 7 7 3 6" xfId="22263"/>
    <cellStyle name="Normal 7 7 3 6 2" xfId="22264"/>
    <cellStyle name="Normal 7 7 3 7" xfId="22265"/>
    <cellStyle name="Normal 7 7 3 7 2" xfId="36901"/>
    <cellStyle name="Normal 7 7 3 8" xfId="22266"/>
    <cellStyle name="Normal 7 7 4" xfId="22267"/>
    <cellStyle name="Normal 7 7 4 2" xfId="22268"/>
    <cellStyle name="Normal 7 7 4 2 2" xfId="22269"/>
    <cellStyle name="Normal 7 7 4 2 2 2" xfId="22270"/>
    <cellStyle name="Normal 7 7 4 2 2 3" xfId="22271"/>
    <cellStyle name="Normal 7 7 4 2 3" xfId="22272"/>
    <cellStyle name="Normal 7 7 4 2 3 2" xfId="22273"/>
    <cellStyle name="Normal 7 7 4 2 4" xfId="22274"/>
    <cellStyle name="Normal 7 7 4 3" xfId="22275"/>
    <cellStyle name="Normal 7 7 4 3 2" xfId="22276"/>
    <cellStyle name="Normal 7 7 4 3 2 2" xfId="22277"/>
    <cellStyle name="Normal 7 7 4 3 3" xfId="22278"/>
    <cellStyle name="Normal 7 7 4 4" xfId="22279"/>
    <cellStyle name="Normal 7 7 4 4 2" xfId="22280"/>
    <cellStyle name="Normal 7 7 4 4 3" xfId="22281"/>
    <cellStyle name="Normal 7 7 4 5" xfId="22282"/>
    <cellStyle name="Normal 7 7 4 5 2" xfId="22283"/>
    <cellStyle name="Normal 7 7 4 6" xfId="22284"/>
    <cellStyle name="Normal 7 7 4 6 2" xfId="36902"/>
    <cellStyle name="Normal 7 7 4 7" xfId="22285"/>
    <cellStyle name="Normal 7 7 5" xfId="22286"/>
    <cellStyle name="Normal 7 7 5 2" xfId="22287"/>
    <cellStyle name="Normal 7 7 5 2 2" xfId="22288"/>
    <cellStyle name="Normal 7 7 5 2 2 2" xfId="22289"/>
    <cellStyle name="Normal 7 7 5 2 3" xfId="22290"/>
    <cellStyle name="Normal 7 7 5 3" xfId="22291"/>
    <cellStyle name="Normal 7 7 5 3 2" xfId="22292"/>
    <cellStyle name="Normal 7 7 5 4" xfId="22293"/>
    <cellStyle name="Normal 7 7 6" xfId="22294"/>
    <cellStyle name="Normal 7 7 6 2" xfId="22295"/>
    <cellStyle name="Normal 7 7 6 2 2" xfId="22296"/>
    <cellStyle name="Normal 7 7 6 3" xfId="22297"/>
    <cellStyle name="Normal 7 7 7" xfId="22298"/>
    <cellStyle name="Normal 7 7 7 2" xfId="22299"/>
    <cellStyle name="Normal 7 7 7 2 2" xfId="22300"/>
    <cellStyle name="Normal 7 7 7 3" xfId="22301"/>
    <cellStyle name="Normal 7 7 8" xfId="22302"/>
    <cellStyle name="Normal 7 7 8 2" xfId="22303"/>
    <cellStyle name="Normal 7 7 9" xfId="22304"/>
    <cellStyle name="Normal 7 7 9 2" xfId="36903"/>
    <cellStyle name="Normal 7 8" xfId="22305"/>
    <cellStyle name="Normal 7 8 2" xfId="22306"/>
    <cellStyle name="Normal 7 8 2 2" xfId="22307"/>
    <cellStyle name="Normal 7 8 2 2 2" xfId="22308"/>
    <cellStyle name="Normal 7 8 2 2 2 2" xfId="22309"/>
    <cellStyle name="Normal 7 8 2 2 2 2 2" xfId="22310"/>
    <cellStyle name="Normal 7 8 2 2 2 2 3" xfId="22311"/>
    <cellStyle name="Normal 7 8 2 2 2 3" xfId="22312"/>
    <cellStyle name="Normal 7 8 2 2 2 3 2" xfId="22313"/>
    <cellStyle name="Normal 7 8 2 2 2 4" xfId="22314"/>
    <cellStyle name="Normal 7 8 2 2 3" xfId="22315"/>
    <cellStyle name="Normal 7 8 2 2 3 2" xfId="22316"/>
    <cellStyle name="Normal 7 8 2 2 3 2 2" xfId="22317"/>
    <cellStyle name="Normal 7 8 2 2 3 3" xfId="22318"/>
    <cellStyle name="Normal 7 8 2 2 4" xfId="22319"/>
    <cellStyle name="Normal 7 8 2 2 4 2" xfId="22320"/>
    <cellStyle name="Normal 7 8 2 2 4 3" xfId="22321"/>
    <cellStyle name="Normal 7 8 2 2 5" xfId="22322"/>
    <cellStyle name="Normal 7 8 2 2 5 2" xfId="22323"/>
    <cellStyle name="Normal 7 8 2 2 6" xfId="22324"/>
    <cellStyle name="Normal 7 8 2 2 6 2" xfId="36904"/>
    <cellStyle name="Normal 7 8 2 2 7" xfId="22325"/>
    <cellStyle name="Normal 7 8 2 3" xfId="22326"/>
    <cellStyle name="Normal 7 8 2 3 2" xfId="22327"/>
    <cellStyle name="Normal 7 8 2 3 2 2" xfId="22328"/>
    <cellStyle name="Normal 7 8 2 3 2 2 2" xfId="22329"/>
    <cellStyle name="Normal 7 8 2 3 2 3" xfId="22330"/>
    <cellStyle name="Normal 7 8 2 3 3" xfId="22331"/>
    <cellStyle name="Normal 7 8 2 3 3 2" xfId="22332"/>
    <cellStyle name="Normal 7 8 2 3 4" xfId="22333"/>
    <cellStyle name="Normal 7 8 2 4" xfId="22334"/>
    <cellStyle name="Normal 7 8 2 4 2" xfId="22335"/>
    <cellStyle name="Normal 7 8 2 4 2 2" xfId="22336"/>
    <cellStyle name="Normal 7 8 2 4 3" xfId="22337"/>
    <cellStyle name="Normal 7 8 2 5" xfId="22338"/>
    <cellStyle name="Normal 7 8 2 5 2" xfId="22339"/>
    <cellStyle name="Normal 7 8 2 5 2 2" xfId="22340"/>
    <cellStyle name="Normal 7 8 2 5 3" xfId="22341"/>
    <cellStyle name="Normal 7 8 2 6" xfId="22342"/>
    <cellStyle name="Normal 7 8 2 6 2" xfId="22343"/>
    <cellStyle name="Normal 7 8 2 7" xfId="22344"/>
    <cellStyle name="Normal 7 8 2 7 2" xfId="36905"/>
    <cellStyle name="Normal 7 8 2 8" xfId="22345"/>
    <cellStyle name="Normal 7 8 3" xfId="22346"/>
    <cellStyle name="Normal 7 8 3 2" xfId="22347"/>
    <cellStyle name="Normal 7 8 3 2 2" xfId="22348"/>
    <cellStyle name="Normal 7 8 3 2 2 2" xfId="22349"/>
    <cellStyle name="Normal 7 8 3 2 2 3" xfId="22350"/>
    <cellStyle name="Normal 7 8 3 2 3" xfId="22351"/>
    <cellStyle name="Normal 7 8 3 2 3 2" xfId="22352"/>
    <cellStyle name="Normal 7 8 3 2 4" xfId="22353"/>
    <cellStyle name="Normal 7 8 3 3" xfId="22354"/>
    <cellStyle name="Normal 7 8 3 3 2" xfId="22355"/>
    <cellStyle name="Normal 7 8 3 3 2 2" xfId="22356"/>
    <cellStyle name="Normal 7 8 3 3 3" xfId="22357"/>
    <cellStyle name="Normal 7 8 3 4" xfId="22358"/>
    <cellStyle name="Normal 7 8 3 4 2" xfId="22359"/>
    <cellStyle name="Normal 7 8 3 4 3" xfId="22360"/>
    <cellStyle name="Normal 7 8 3 5" xfId="22361"/>
    <cellStyle name="Normal 7 8 3 5 2" xfId="22362"/>
    <cellStyle name="Normal 7 8 3 6" xfId="22363"/>
    <cellStyle name="Normal 7 8 3 6 2" xfId="36906"/>
    <cellStyle name="Normal 7 8 3 7" xfId="22364"/>
    <cellStyle name="Normal 7 8 4" xfId="22365"/>
    <cellStyle name="Normal 7 8 4 2" xfId="22366"/>
    <cellStyle name="Normal 7 8 4 2 2" xfId="22367"/>
    <cellStyle name="Normal 7 8 4 2 2 2" xfId="22368"/>
    <cellStyle name="Normal 7 8 4 2 3" xfId="22369"/>
    <cellStyle name="Normal 7 8 4 3" xfId="22370"/>
    <cellStyle name="Normal 7 8 4 3 2" xfId="22371"/>
    <cellStyle name="Normal 7 8 4 4" xfId="22372"/>
    <cellStyle name="Normal 7 8 5" xfId="22373"/>
    <cellStyle name="Normal 7 8 5 2" xfId="22374"/>
    <cellStyle name="Normal 7 8 5 2 2" xfId="22375"/>
    <cellStyle name="Normal 7 8 5 3" xfId="22376"/>
    <cellStyle name="Normal 7 8 6" xfId="22377"/>
    <cellStyle name="Normal 7 8 6 2" xfId="22378"/>
    <cellStyle name="Normal 7 8 6 2 2" xfId="22379"/>
    <cellStyle name="Normal 7 8 6 3" xfId="22380"/>
    <cellStyle name="Normal 7 8 7" xfId="22381"/>
    <cellStyle name="Normal 7 8 7 2" xfId="22382"/>
    <cellStyle name="Normal 7 8 8" xfId="22383"/>
    <cellStyle name="Normal 7 8 8 2" xfId="36907"/>
    <cellStyle name="Normal 7 8 9" xfId="22384"/>
    <cellStyle name="Normal 7 9" xfId="22385"/>
    <cellStyle name="Normal 7 9 2" xfId="22386"/>
    <cellStyle name="Normal 7 9 2 2" xfId="22387"/>
    <cellStyle name="Normal 7 9 2 2 2" xfId="22388"/>
    <cellStyle name="Normal 7 9 2 2 2 2" xfId="22389"/>
    <cellStyle name="Normal 7 9 2 2 2 2 2" xfId="22390"/>
    <cellStyle name="Normal 7 9 2 2 2 2 3" xfId="22391"/>
    <cellStyle name="Normal 7 9 2 2 2 3" xfId="22392"/>
    <cellStyle name="Normal 7 9 2 2 2 3 2" xfId="22393"/>
    <cellStyle name="Normal 7 9 2 2 2 4" xfId="22394"/>
    <cellStyle name="Normal 7 9 2 2 3" xfId="22395"/>
    <cellStyle name="Normal 7 9 2 2 3 2" xfId="22396"/>
    <cellStyle name="Normal 7 9 2 2 3 2 2" xfId="22397"/>
    <cellStyle name="Normal 7 9 2 2 3 3" xfId="22398"/>
    <cellStyle name="Normal 7 9 2 2 4" xfId="22399"/>
    <cellStyle name="Normal 7 9 2 2 4 2" xfId="22400"/>
    <cellStyle name="Normal 7 9 2 2 4 3" xfId="22401"/>
    <cellStyle name="Normal 7 9 2 2 5" xfId="22402"/>
    <cellStyle name="Normal 7 9 2 2 5 2" xfId="22403"/>
    <cellStyle name="Normal 7 9 2 2 6" xfId="22404"/>
    <cellStyle name="Normal 7 9 2 2 6 2" xfId="36908"/>
    <cellStyle name="Normal 7 9 2 2 7" xfId="22405"/>
    <cellStyle name="Normal 7 9 2 3" xfId="22406"/>
    <cellStyle name="Normal 7 9 2 3 2" xfId="22407"/>
    <cellStyle name="Normal 7 9 2 3 2 2" xfId="22408"/>
    <cellStyle name="Normal 7 9 2 3 2 2 2" xfId="22409"/>
    <cellStyle name="Normal 7 9 2 3 2 3" xfId="22410"/>
    <cellStyle name="Normal 7 9 2 3 3" xfId="22411"/>
    <cellStyle name="Normal 7 9 2 3 3 2" xfId="22412"/>
    <cellStyle name="Normal 7 9 2 3 4" xfId="22413"/>
    <cellStyle name="Normal 7 9 2 4" xfId="22414"/>
    <cellStyle name="Normal 7 9 2 4 2" xfId="22415"/>
    <cellStyle name="Normal 7 9 2 4 2 2" xfId="22416"/>
    <cellStyle name="Normal 7 9 2 4 3" xfId="22417"/>
    <cellStyle name="Normal 7 9 2 5" xfId="22418"/>
    <cellStyle name="Normal 7 9 2 5 2" xfId="22419"/>
    <cellStyle name="Normal 7 9 2 5 2 2" xfId="22420"/>
    <cellStyle name="Normal 7 9 2 5 3" xfId="22421"/>
    <cellStyle name="Normal 7 9 2 6" xfId="22422"/>
    <cellStyle name="Normal 7 9 2 6 2" xfId="22423"/>
    <cellStyle name="Normal 7 9 2 7" xfId="22424"/>
    <cellStyle name="Normal 7 9 2 7 2" xfId="36909"/>
    <cellStyle name="Normal 7 9 2 8" xfId="22425"/>
    <cellStyle name="Normal 7 9 3" xfId="22426"/>
    <cellStyle name="Normal 7 9 3 2" xfId="22427"/>
    <cellStyle name="Normal 7 9 3 2 2" xfId="22428"/>
    <cellStyle name="Normal 7 9 3 2 2 2" xfId="22429"/>
    <cellStyle name="Normal 7 9 3 2 2 3" xfId="22430"/>
    <cellStyle name="Normal 7 9 3 2 3" xfId="22431"/>
    <cellStyle name="Normal 7 9 3 2 3 2" xfId="22432"/>
    <cellStyle name="Normal 7 9 3 2 4" xfId="22433"/>
    <cellStyle name="Normal 7 9 3 3" xfId="22434"/>
    <cellStyle name="Normal 7 9 3 3 2" xfId="22435"/>
    <cellStyle name="Normal 7 9 3 3 2 2" xfId="22436"/>
    <cellStyle name="Normal 7 9 3 3 3" xfId="22437"/>
    <cellStyle name="Normal 7 9 3 4" xfId="22438"/>
    <cellStyle name="Normal 7 9 3 4 2" xfId="22439"/>
    <cellStyle name="Normal 7 9 3 4 3" xfId="22440"/>
    <cellStyle name="Normal 7 9 3 5" xfId="22441"/>
    <cellStyle name="Normal 7 9 3 5 2" xfId="22442"/>
    <cellStyle name="Normal 7 9 3 6" xfId="22443"/>
    <cellStyle name="Normal 7 9 3 6 2" xfId="36910"/>
    <cellStyle name="Normal 7 9 3 7" xfId="22444"/>
    <cellStyle name="Normal 7 9 4" xfId="22445"/>
    <cellStyle name="Normal 7 9 4 2" xfId="22446"/>
    <cellStyle name="Normal 7 9 4 2 2" xfId="22447"/>
    <cellStyle name="Normal 7 9 4 2 2 2" xfId="22448"/>
    <cellStyle name="Normal 7 9 4 2 3" xfId="22449"/>
    <cellStyle name="Normal 7 9 4 3" xfId="22450"/>
    <cellStyle name="Normal 7 9 4 3 2" xfId="22451"/>
    <cellStyle name="Normal 7 9 4 4" xfId="22452"/>
    <cellStyle name="Normal 7 9 5" xfId="22453"/>
    <cellStyle name="Normal 7 9 5 2" xfId="22454"/>
    <cellStyle name="Normal 7 9 5 2 2" xfId="22455"/>
    <cellStyle name="Normal 7 9 5 3" xfId="22456"/>
    <cellStyle name="Normal 7 9 6" xfId="22457"/>
    <cellStyle name="Normal 7 9 6 2" xfId="22458"/>
    <cellStyle name="Normal 7 9 6 2 2" xfId="22459"/>
    <cellStyle name="Normal 7 9 6 3" xfId="22460"/>
    <cellStyle name="Normal 7 9 7" xfId="22461"/>
    <cellStyle name="Normal 7 9 7 2" xfId="22462"/>
    <cellStyle name="Normal 7 9 8" xfId="22463"/>
    <cellStyle name="Normal 7 9 8 2" xfId="36911"/>
    <cellStyle name="Normal 7 9 9" xfId="22464"/>
    <cellStyle name="Normal 8" xfId="178"/>
    <cellStyle name="Normal 8 10" xfId="182"/>
    <cellStyle name="Normal 8 10 2" xfId="22465"/>
    <cellStyle name="Normal 8 10 2 2" xfId="22466"/>
    <cellStyle name="Normal 8 10 2 2 2" xfId="22467"/>
    <cellStyle name="Normal 8 10 2 2 2 2" xfId="22468"/>
    <cellStyle name="Normal 8 10 2 2 2 3" xfId="22469"/>
    <cellStyle name="Normal 8 10 2 2 3" xfId="22470"/>
    <cellStyle name="Normal 8 10 2 2 3 2" xfId="22471"/>
    <cellStyle name="Normal 8 10 2 2 4" xfId="22472"/>
    <cellStyle name="Normal 8 10 2 3" xfId="22473"/>
    <cellStyle name="Normal 8 10 2 3 2" xfId="22474"/>
    <cellStyle name="Normal 8 10 2 3 2 2" xfId="22475"/>
    <cellStyle name="Normal 8 10 2 3 3" xfId="22476"/>
    <cellStyle name="Normal 8 10 2 4" xfId="22477"/>
    <cellStyle name="Normal 8 10 2 4 2" xfId="22478"/>
    <cellStyle name="Normal 8 10 2 4 3" xfId="22479"/>
    <cellStyle name="Normal 8 10 2 5" xfId="22480"/>
    <cellStyle name="Normal 8 10 2 5 2" xfId="22481"/>
    <cellStyle name="Normal 8 10 2 6" xfId="22482"/>
    <cellStyle name="Normal 8 10 2 6 2" xfId="36912"/>
    <cellStyle name="Normal 8 10 2 7" xfId="22483"/>
    <cellStyle name="Normal 8 10 3" xfId="22484"/>
    <cellStyle name="Normal 8 10 3 2" xfId="22485"/>
    <cellStyle name="Normal 8 10 3 2 2" xfId="22486"/>
    <cellStyle name="Normal 8 10 3 2 2 2" xfId="22487"/>
    <cellStyle name="Normal 8 10 3 2 3" xfId="22488"/>
    <cellStyle name="Normal 8 10 3 3" xfId="22489"/>
    <cellStyle name="Normal 8 10 3 3 2" xfId="22490"/>
    <cellStyle name="Normal 8 10 3 4" xfId="22491"/>
    <cellStyle name="Normal 8 10 4" xfId="22492"/>
    <cellStyle name="Normal 8 10 4 2" xfId="22493"/>
    <cellStyle name="Normal 8 10 4 2 2" xfId="22494"/>
    <cellStyle name="Normal 8 10 4 3" xfId="22495"/>
    <cellStyle name="Normal 8 10 5" xfId="22496"/>
    <cellStyle name="Normal 8 10 5 2" xfId="22497"/>
    <cellStyle name="Normal 8 10 5 2 2" xfId="22498"/>
    <cellStyle name="Normal 8 10 5 3" xfId="22499"/>
    <cellStyle name="Normal 8 10 6" xfId="22500"/>
    <cellStyle name="Normal 8 10 6 2" xfId="22501"/>
    <cellStyle name="Normal 8 10 7" xfId="22502"/>
    <cellStyle name="Normal 8 10 7 2" xfId="36913"/>
    <cellStyle name="Normal 8 10 8" xfId="22503"/>
    <cellStyle name="Normal 8 11" xfId="22504"/>
    <cellStyle name="Normal 8 11 2" xfId="22505"/>
    <cellStyle name="Normal 8 11 2 2" xfId="22506"/>
    <cellStyle name="Normal 8 11 2 2 2" xfId="22507"/>
    <cellStyle name="Normal 8 11 2 2 2 2" xfId="22508"/>
    <cellStyle name="Normal 8 11 2 2 2 3" xfId="22509"/>
    <cellStyle name="Normal 8 11 2 2 3" xfId="22510"/>
    <cellStyle name="Normal 8 11 2 2 3 2" xfId="22511"/>
    <cellStyle name="Normal 8 11 2 2 4" xfId="22512"/>
    <cellStyle name="Normal 8 11 2 3" xfId="22513"/>
    <cellStyle name="Normal 8 11 2 3 2" xfId="22514"/>
    <cellStyle name="Normal 8 11 2 3 2 2" xfId="22515"/>
    <cellStyle name="Normal 8 11 2 3 3" xfId="22516"/>
    <cellStyle name="Normal 8 11 2 4" xfId="22517"/>
    <cellStyle name="Normal 8 11 2 4 2" xfId="22518"/>
    <cellStyle name="Normal 8 11 2 4 3" xfId="22519"/>
    <cellStyle name="Normal 8 11 2 5" xfId="22520"/>
    <cellStyle name="Normal 8 11 2 5 2" xfId="22521"/>
    <cellStyle name="Normal 8 11 2 6" xfId="22522"/>
    <cellStyle name="Normal 8 11 2 6 2" xfId="36914"/>
    <cellStyle name="Normal 8 11 2 7" xfId="22523"/>
    <cellStyle name="Normal 8 11 3" xfId="22524"/>
    <cellStyle name="Normal 8 11 3 2" xfId="22525"/>
    <cellStyle name="Normal 8 11 3 2 2" xfId="22526"/>
    <cellStyle name="Normal 8 11 3 2 2 2" xfId="22527"/>
    <cellStyle name="Normal 8 11 3 2 3" xfId="22528"/>
    <cellStyle name="Normal 8 11 3 3" xfId="22529"/>
    <cellStyle name="Normal 8 11 3 3 2" xfId="22530"/>
    <cellStyle name="Normal 8 11 3 4" xfId="22531"/>
    <cellStyle name="Normal 8 11 4" xfId="22532"/>
    <cellStyle name="Normal 8 11 4 2" xfId="22533"/>
    <cellStyle name="Normal 8 11 4 2 2" xfId="22534"/>
    <cellStyle name="Normal 8 11 4 3" xfId="22535"/>
    <cellStyle name="Normal 8 11 5" xfId="22536"/>
    <cellStyle name="Normal 8 11 5 2" xfId="22537"/>
    <cellStyle name="Normal 8 11 5 2 2" xfId="22538"/>
    <cellStyle name="Normal 8 11 5 3" xfId="22539"/>
    <cellStyle name="Normal 8 11 6" xfId="22540"/>
    <cellStyle name="Normal 8 11 6 2" xfId="22541"/>
    <cellStyle name="Normal 8 11 7" xfId="22542"/>
    <cellStyle name="Normal 8 11 7 2" xfId="36915"/>
    <cellStyle name="Normal 8 11 8" xfId="22543"/>
    <cellStyle name="Normal 8 12" xfId="22544"/>
    <cellStyle name="Normal 8 12 2" xfId="22545"/>
    <cellStyle name="Normal 8 12 2 2" xfId="22546"/>
    <cellStyle name="Normal 8 12 2 2 2" xfId="22547"/>
    <cellStyle name="Normal 8 12 2 2 2 2" xfId="22548"/>
    <cellStyle name="Normal 8 12 2 2 2 3" xfId="22549"/>
    <cellStyle name="Normal 8 12 2 2 3" xfId="22550"/>
    <cellStyle name="Normal 8 12 2 2 3 2" xfId="22551"/>
    <cellStyle name="Normal 8 12 2 2 4" xfId="22552"/>
    <cellStyle name="Normal 8 12 2 3" xfId="22553"/>
    <cellStyle name="Normal 8 12 2 3 2" xfId="22554"/>
    <cellStyle name="Normal 8 12 2 3 2 2" xfId="22555"/>
    <cellStyle name="Normal 8 12 2 3 3" xfId="22556"/>
    <cellStyle name="Normal 8 12 2 4" xfId="22557"/>
    <cellStyle name="Normal 8 12 2 4 2" xfId="22558"/>
    <cellStyle name="Normal 8 12 2 4 3" xfId="22559"/>
    <cellStyle name="Normal 8 12 2 5" xfId="22560"/>
    <cellStyle name="Normal 8 12 2 5 2" xfId="22561"/>
    <cellStyle name="Normal 8 12 2 6" xfId="22562"/>
    <cellStyle name="Normal 8 12 2 6 2" xfId="36916"/>
    <cellStyle name="Normal 8 12 2 7" xfId="22563"/>
    <cellStyle name="Normal 8 12 3" xfId="22564"/>
    <cellStyle name="Normal 8 12 3 2" xfId="22565"/>
    <cellStyle name="Normal 8 12 3 2 2" xfId="22566"/>
    <cellStyle name="Normal 8 12 3 2 2 2" xfId="22567"/>
    <cellStyle name="Normal 8 12 3 2 3" xfId="22568"/>
    <cellStyle name="Normal 8 12 3 3" xfId="22569"/>
    <cellStyle name="Normal 8 12 3 3 2" xfId="22570"/>
    <cellStyle name="Normal 8 12 3 4" xfId="22571"/>
    <cellStyle name="Normal 8 12 4" xfId="22572"/>
    <cellStyle name="Normal 8 12 4 2" xfId="22573"/>
    <cellStyle name="Normal 8 12 4 2 2" xfId="22574"/>
    <cellStyle name="Normal 8 12 4 3" xfId="22575"/>
    <cellStyle name="Normal 8 12 5" xfId="22576"/>
    <cellStyle name="Normal 8 12 5 2" xfId="22577"/>
    <cellStyle name="Normal 8 12 5 2 2" xfId="22578"/>
    <cellStyle name="Normal 8 12 5 3" xfId="22579"/>
    <cellStyle name="Normal 8 12 6" xfId="22580"/>
    <cellStyle name="Normal 8 12 6 2" xfId="22581"/>
    <cellStyle name="Normal 8 12 7" xfId="22582"/>
    <cellStyle name="Normal 8 12 7 2" xfId="36917"/>
    <cellStyle name="Normal 8 12 8" xfId="22583"/>
    <cellStyle name="Normal 8 13" xfId="22584"/>
    <cellStyle name="Normal 8 13 2" xfId="22585"/>
    <cellStyle name="Normal 8 13 2 2" xfId="22586"/>
    <cellStyle name="Normal 8 13 2 2 2" xfId="22587"/>
    <cellStyle name="Normal 8 13 2 2 3" xfId="22588"/>
    <cellStyle name="Normal 8 13 2 3" xfId="22589"/>
    <cellStyle name="Normal 8 13 2 3 2" xfId="22590"/>
    <cellStyle name="Normal 8 13 2 4" xfId="22591"/>
    <cellStyle name="Normal 8 13 3" xfId="22592"/>
    <cellStyle name="Normal 8 13 3 2" xfId="22593"/>
    <cellStyle name="Normal 8 13 3 2 2" xfId="22594"/>
    <cellStyle name="Normal 8 13 3 3" xfId="22595"/>
    <cellStyle name="Normal 8 13 4" xfId="22596"/>
    <cellStyle name="Normal 8 13 4 2" xfId="22597"/>
    <cellStyle name="Normal 8 13 4 3" xfId="22598"/>
    <cellStyle name="Normal 8 13 5" xfId="22599"/>
    <cellStyle name="Normal 8 13 5 2" xfId="22600"/>
    <cellStyle name="Normal 8 13 6" xfId="22601"/>
    <cellStyle name="Normal 8 13 6 2" xfId="36918"/>
    <cellStyle name="Normal 8 13 7" xfId="22602"/>
    <cellStyle name="Normal 8 14" xfId="22603"/>
    <cellStyle name="Normal 8 14 2" xfId="22604"/>
    <cellStyle name="Normal 8 14 2 2" xfId="22605"/>
    <cellStyle name="Normal 8 14 2 2 2" xfId="22606"/>
    <cellStyle name="Normal 8 14 2 3" xfId="22607"/>
    <cellStyle name="Normal 8 14 3" xfId="22608"/>
    <cellStyle name="Normal 8 14 3 2" xfId="22609"/>
    <cellStyle name="Normal 8 14 4" xfId="22610"/>
    <cellStyle name="Normal 8 15" xfId="22611"/>
    <cellStyle name="Normal 8 15 2" xfId="22612"/>
    <cellStyle name="Normal 8 15 2 2" xfId="22613"/>
    <cellStyle name="Normal 8 15 3" xfId="22614"/>
    <cellStyle name="Normal 8 16" xfId="22615"/>
    <cellStyle name="Normal 8 16 2" xfId="22616"/>
    <cellStyle name="Normal 8 16 2 2" xfId="22617"/>
    <cellStyle name="Normal 8 16 3" xfId="22618"/>
    <cellStyle name="Normal 8 17" xfId="22619"/>
    <cellStyle name="Normal 8 17 2" xfId="22620"/>
    <cellStyle name="Normal 8 18" xfId="22621"/>
    <cellStyle name="Normal 8 18 2" xfId="36919"/>
    <cellStyle name="Normal 8 19" xfId="22622"/>
    <cellStyle name="Normal 8 2" xfId="22623"/>
    <cellStyle name="Normal 8 2 10" xfId="22624"/>
    <cellStyle name="Normal 8 2 10 2" xfId="22625"/>
    <cellStyle name="Normal 8 2 10 2 2" xfId="22626"/>
    <cellStyle name="Normal 8 2 10 2 2 2" xfId="22627"/>
    <cellStyle name="Normal 8 2 10 2 2 2 2" xfId="22628"/>
    <cellStyle name="Normal 8 2 10 2 2 2 3" xfId="22629"/>
    <cellStyle name="Normal 8 2 10 2 2 3" xfId="22630"/>
    <cellStyle name="Normal 8 2 10 2 2 3 2" xfId="22631"/>
    <cellStyle name="Normal 8 2 10 2 2 4" xfId="22632"/>
    <cellStyle name="Normal 8 2 10 2 3" xfId="22633"/>
    <cellStyle name="Normal 8 2 10 2 3 2" xfId="22634"/>
    <cellStyle name="Normal 8 2 10 2 3 2 2" xfId="22635"/>
    <cellStyle name="Normal 8 2 10 2 3 3" xfId="22636"/>
    <cellStyle name="Normal 8 2 10 2 4" xfId="22637"/>
    <cellStyle name="Normal 8 2 10 2 4 2" xfId="22638"/>
    <cellStyle name="Normal 8 2 10 2 4 3" xfId="22639"/>
    <cellStyle name="Normal 8 2 10 2 5" xfId="22640"/>
    <cellStyle name="Normal 8 2 10 2 5 2" xfId="22641"/>
    <cellStyle name="Normal 8 2 10 2 6" xfId="22642"/>
    <cellStyle name="Normal 8 2 10 2 6 2" xfId="36920"/>
    <cellStyle name="Normal 8 2 10 2 7" xfId="22643"/>
    <cellStyle name="Normal 8 2 10 3" xfId="22644"/>
    <cellStyle name="Normal 8 2 10 3 2" xfId="22645"/>
    <cellStyle name="Normal 8 2 10 3 2 2" xfId="22646"/>
    <cellStyle name="Normal 8 2 10 3 2 2 2" xfId="22647"/>
    <cellStyle name="Normal 8 2 10 3 2 3" xfId="22648"/>
    <cellStyle name="Normal 8 2 10 3 3" xfId="22649"/>
    <cellStyle name="Normal 8 2 10 3 3 2" xfId="22650"/>
    <cellStyle name="Normal 8 2 10 3 4" xfId="22651"/>
    <cellStyle name="Normal 8 2 10 4" xfId="22652"/>
    <cellStyle name="Normal 8 2 10 4 2" xfId="22653"/>
    <cellStyle name="Normal 8 2 10 4 2 2" xfId="22654"/>
    <cellStyle name="Normal 8 2 10 4 3" xfId="22655"/>
    <cellStyle name="Normal 8 2 10 5" xfId="22656"/>
    <cellStyle name="Normal 8 2 10 5 2" xfId="22657"/>
    <cellStyle name="Normal 8 2 10 5 2 2" xfId="22658"/>
    <cellStyle name="Normal 8 2 10 5 3" xfId="22659"/>
    <cellStyle name="Normal 8 2 10 6" xfId="22660"/>
    <cellStyle name="Normal 8 2 10 6 2" xfId="22661"/>
    <cellStyle name="Normal 8 2 10 7" xfId="22662"/>
    <cellStyle name="Normal 8 2 10 7 2" xfId="36921"/>
    <cellStyle name="Normal 8 2 10 8" xfId="22663"/>
    <cellStyle name="Normal 8 2 11" xfId="22664"/>
    <cellStyle name="Normal 8 2 11 2" xfId="22665"/>
    <cellStyle name="Normal 8 2 11 2 2" xfId="22666"/>
    <cellStyle name="Normal 8 2 11 2 2 2" xfId="22667"/>
    <cellStyle name="Normal 8 2 11 2 2 2 2" xfId="22668"/>
    <cellStyle name="Normal 8 2 11 2 2 2 3" xfId="22669"/>
    <cellStyle name="Normal 8 2 11 2 2 3" xfId="22670"/>
    <cellStyle name="Normal 8 2 11 2 2 3 2" xfId="22671"/>
    <cellStyle name="Normal 8 2 11 2 2 4" xfId="22672"/>
    <cellStyle name="Normal 8 2 11 2 3" xfId="22673"/>
    <cellStyle name="Normal 8 2 11 2 3 2" xfId="22674"/>
    <cellStyle name="Normal 8 2 11 2 3 2 2" xfId="22675"/>
    <cellStyle name="Normal 8 2 11 2 3 3" xfId="22676"/>
    <cellStyle name="Normal 8 2 11 2 4" xfId="22677"/>
    <cellStyle name="Normal 8 2 11 2 4 2" xfId="22678"/>
    <cellStyle name="Normal 8 2 11 2 4 3" xfId="22679"/>
    <cellStyle name="Normal 8 2 11 2 5" xfId="22680"/>
    <cellStyle name="Normal 8 2 11 2 5 2" xfId="22681"/>
    <cellStyle name="Normal 8 2 11 2 6" xfId="22682"/>
    <cellStyle name="Normal 8 2 11 2 6 2" xfId="36922"/>
    <cellStyle name="Normal 8 2 11 2 7" xfId="22683"/>
    <cellStyle name="Normal 8 2 11 3" xfId="22684"/>
    <cellStyle name="Normal 8 2 11 3 2" xfId="22685"/>
    <cellStyle name="Normal 8 2 11 3 2 2" xfId="22686"/>
    <cellStyle name="Normal 8 2 11 3 2 2 2" xfId="22687"/>
    <cellStyle name="Normal 8 2 11 3 2 3" xfId="22688"/>
    <cellStyle name="Normal 8 2 11 3 3" xfId="22689"/>
    <cellStyle name="Normal 8 2 11 3 3 2" xfId="22690"/>
    <cellStyle name="Normal 8 2 11 3 4" xfId="22691"/>
    <cellStyle name="Normal 8 2 11 4" xfId="22692"/>
    <cellStyle name="Normal 8 2 11 4 2" xfId="22693"/>
    <cellStyle name="Normal 8 2 11 4 2 2" xfId="22694"/>
    <cellStyle name="Normal 8 2 11 4 3" xfId="22695"/>
    <cellStyle name="Normal 8 2 11 5" xfId="22696"/>
    <cellStyle name="Normal 8 2 11 5 2" xfId="22697"/>
    <cellStyle name="Normal 8 2 11 5 2 2" xfId="22698"/>
    <cellStyle name="Normal 8 2 11 5 3" xfId="22699"/>
    <cellStyle name="Normal 8 2 11 6" xfId="22700"/>
    <cellStyle name="Normal 8 2 11 6 2" xfId="22701"/>
    <cellStyle name="Normal 8 2 11 7" xfId="22702"/>
    <cellStyle name="Normal 8 2 11 7 2" xfId="36923"/>
    <cellStyle name="Normal 8 2 11 8" xfId="22703"/>
    <cellStyle name="Normal 8 2 12" xfId="22704"/>
    <cellStyle name="Normal 8 2 12 2" xfId="22705"/>
    <cellStyle name="Normal 8 2 12 2 2" xfId="22706"/>
    <cellStyle name="Normal 8 2 12 2 2 2" xfId="22707"/>
    <cellStyle name="Normal 8 2 12 2 2 3" xfId="22708"/>
    <cellStyle name="Normal 8 2 12 2 3" xfId="22709"/>
    <cellStyle name="Normal 8 2 12 2 3 2" xfId="22710"/>
    <cellStyle name="Normal 8 2 12 2 4" xfId="22711"/>
    <cellStyle name="Normal 8 2 12 3" xfId="22712"/>
    <cellStyle name="Normal 8 2 12 3 2" xfId="22713"/>
    <cellStyle name="Normal 8 2 12 3 2 2" xfId="22714"/>
    <cellStyle name="Normal 8 2 12 3 3" xfId="22715"/>
    <cellStyle name="Normal 8 2 12 4" xfId="22716"/>
    <cellStyle name="Normal 8 2 12 4 2" xfId="22717"/>
    <cellStyle name="Normal 8 2 12 4 3" xfId="22718"/>
    <cellStyle name="Normal 8 2 12 5" xfId="22719"/>
    <cellStyle name="Normal 8 2 12 5 2" xfId="22720"/>
    <cellStyle name="Normal 8 2 12 6" xfId="22721"/>
    <cellStyle name="Normal 8 2 12 6 2" xfId="36924"/>
    <cellStyle name="Normal 8 2 12 7" xfId="22722"/>
    <cellStyle name="Normal 8 2 13" xfId="22723"/>
    <cellStyle name="Normal 8 2 13 2" xfId="22724"/>
    <cellStyle name="Normal 8 2 13 2 2" xfId="22725"/>
    <cellStyle name="Normal 8 2 13 2 2 2" xfId="22726"/>
    <cellStyle name="Normal 8 2 13 2 3" xfId="22727"/>
    <cellStyle name="Normal 8 2 13 3" xfId="22728"/>
    <cellStyle name="Normal 8 2 13 3 2" xfId="22729"/>
    <cellStyle name="Normal 8 2 13 4" xfId="22730"/>
    <cellStyle name="Normal 8 2 14" xfId="22731"/>
    <cellStyle name="Normal 8 2 14 2" xfId="22732"/>
    <cellStyle name="Normal 8 2 14 2 2" xfId="22733"/>
    <cellStyle name="Normal 8 2 14 3" xfId="22734"/>
    <cellStyle name="Normal 8 2 15" xfId="22735"/>
    <cellStyle name="Normal 8 2 15 2" xfId="22736"/>
    <cellStyle name="Normal 8 2 15 2 2" xfId="22737"/>
    <cellStyle name="Normal 8 2 15 3" xfId="22738"/>
    <cellStyle name="Normal 8 2 16" xfId="22739"/>
    <cellStyle name="Normal 8 2 16 2" xfId="22740"/>
    <cellStyle name="Normal 8 2 17" xfId="22741"/>
    <cellStyle name="Normal 8 2 17 2" xfId="36925"/>
    <cellStyle name="Normal 8 2 18" xfId="22742"/>
    <cellStyle name="Normal 8 2 2" xfId="22743"/>
    <cellStyle name="Normal 8 2 2 10" xfId="22744"/>
    <cellStyle name="Normal 8 2 2 10 2" xfId="22745"/>
    <cellStyle name="Normal 8 2 2 10 2 2" xfId="22746"/>
    <cellStyle name="Normal 8 2 2 10 3" xfId="22747"/>
    <cellStyle name="Normal 8 2 2 11" xfId="22748"/>
    <cellStyle name="Normal 8 2 2 11 2" xfId="22749"/>
    <cellStyle name="Normal 8 2 2 11 2 2" xfId="22750"/>
    <cellStyle name="Normal 8 2 2 11 3" xfId="22751"/>
    <cellStyle name="Normal 8 2 2 12" xfId="22752"/>
    <cellStyle name="Normal 8 2 2 12 2" xfId="22753"/>
    <cellStyle name="Normal 8 2 2 13" xfId="22754"/>
    <cellStyle name="Normal 8 2 2 13 2" xfId="36926"/>
    <cellStyle name="Normal 8 2 2 14" xfId="22755"/>
    <cellStyle name="Normal 8 2 2 2" xfId="22756"/>
    <cellStyle name="Normal 8 2 2 2 10" xfId="22757"/>
    <cellStyle name="Normal 8 2 2 2 2" xfId="22758"/>
    <cellStyle name="Normal 8 2 2 2 2 2" xfId="22759"/>
    <cellStyle name="Normal 8 2 2 2 2 2 2" xfId="22760"/>
    <cellStyle name="Normal 8 2 2 2 2 2 2 2" xfId="22761"/>
    <cellStyle name="Normal 8 2 2 2 2 2 2 2 2" xfId="22762"/>
    <cellStyle name="Normal 8 2 2 2 2 2 2 2 2 2" xfId="22763"/>
    <cellStyle name="Normal 8 2 2 2 2 2 2 2 2 3" xfId="22764"/>
    <cellStyle name="Normal 8 2 2 2 2 2 2 2 3" xfId="22765"/>
    <cellStyle name="Normal 8 2 2 2 2 2 2 2 3 2" xfId="22766"/>
    <cellStyle name="Normal 8 2 2 2 2 2 2 2 4" xfId="22767"/>
    <cellStyle name="Normal 8 2 2 2 2 2 2 3" xfId="22768"/>
    <cellStyle name="Normal 8 2 2 2 2 2 2 3 2" xfId="22769"/>
    <cellStyle name="Normal 8 2 2 2 2 2 2 3 2 2" xfId="22770"/>
    <cellStyle name="Normal 8 2 2 2 2 2 2 3 3" xfId="22771"/>
    <cellStyle name="Normal 8 2 2 2 2 2 2 4" xfId="22772"/>
    <cellStyle name="Normal 8 2 2 2 2 2 2 4 2" xfId="22773"/>
    <cellStyle name="Normal 8 2 2 2 2 2 2 4 3" xfId="22774"/>
    <cellStyle name="Normal 8 2 2 2 2 2 2 5" xfId="22775"/>
    <cellStyle name="Normal 8 2 2 2 2 2 2 5 2" xfId="22776"/>
    <cellStyle name="Normal 8 2 2 2 2 2 2 6" xfId="22777"/>
    <cellStyle name="Normal 8 2 2 2 2 2 2 6 2" xfId="36927"/>
    <cellStyle name="Normal 8 2 2 2 2 2 2 7" xfId="22778"/>
    <cellStyle name="Normal 8 2 2 2 2 2 3" xfId="22779"/>
    <cellStyle name="Normal 8 2 2 2 2 2 3 2" xfId="22780"/>
    <cellStyle name="Normal 8 2 2 2 2 2 3 2 2" xfId="22781"/>
    <cellStyle name="Normal 8 2 2 2 2 2 3 2 2 2" xfId="22782"/>
    <cellStyle name="Normal 8 2 2 2 2 2 3 2 3" xfId="22783"/>
    <cellStyle name="Normal 8 2 2 2 2 2 3 3" xfId="22784"/>
    <cellStyle name="Normal 8 2 2 2 2 2 3 3 2" xfId="22785"/>
    <cellStyle name="Normal 8 2 2 2 2 2 3 4" xfId="22786"/>
    <cellStyle name="Normal 8 2 2 2 2 2 4" xfId="22787"/>
    <cellStyle name="Normal 8 2 2 2 2 2 4 2" xfId="22788"/>
    <cellStyle name="Normal 8 2 2 2 2 2 4 2 2" xfId="22789"/>
    <cellStyle name="Normal 8 2 2 2 2 2 4 3" xfId="22790"/>
    <cellStyle name="Normal 8 2 2 2 2 2 5" xfId="22791"/>
    <cellStyle name="Normal 8 2 2 2 2 2 5 2" xfId="22792"/>
    <cellStyle name="Normal 8 2 2 2 2 2 5 2 2" xfId="22793"/>
    <cellStyle name="Normal 8 2 2 2 2 2 5 3" xfId="22794"/>
    <cellStyle name="Normal 8 2 2 2 2 2 6" xfId="22795"/>
    <cellStyle name="Normal 8 2 2 2 2 2 6 2" xfId="22796"/>
    <cellStyle name="Normal 8 2 2 2 2 2 7" xfId="22797"/>
    <cellStyle name="Normal 8 2 2 2 2 2 7 2" xfId="36928"/>
    <cellStyle name="Normal 8 2 2 2 2 2 8" xfId="22798"/>
    <cellStyle name="Normal 8 2 2 2 2 3" xfId="22799"/>
    <cellStyle name="Normal 8 2 2 2 2 3 2" xfId="22800"/>
    <cellStyle name="Normal 8 2 2 2 2 3 2 2" xfId="22801"/>
    <cellStyle name="Normal 8 2 2 2 2 3 2 2 2" xfId="22802"/>
    <cellStyle name="Normal 8 2 2 2 2 3 2 2 3" xfId="22803"/>
    <cellStyle name="Normal 8 2 2 2 2 3 2 3" xfId="22804"/>
    <cellStyle name="Normal 8 2 2 2 2 3 2 3 2" xfId="22805"/>
    <cellStyle name="Normal 8 2 2 2 2 3 2 4" xfId="22806"/>
    <cellStyle name="Normal 8 2 2 2 2 3 3" xfId="22807"/>
    <cellStyle name="Normal 8 2 2 2 2 3 3 2" xfId="22808"/>
    <cellStyle name="Normal 8 2 2 2 2 3 3 2 2" xfId="22809"/>
    <cellStyle name="Normal 8 2 2 2 2 3 3 3" xfId="22810"/>
    <cellStyle name="Normal 8 2 2 2 2 3 4" xfId="22811"/>
    <cellStyle name="Normal 8 2 2 2 2 3 4 2" xfId="22812"/>
    <cellStyle name="Normal 8 2 2 2 2 3 4 3" xfId="22813"/>
    <cellStyle name="Normal 8 2 2 2 2 3 5" xfId="22814"/>
    <cellStyle name="Normal 8 2 2 2 2 3 5 2" xfId="22815"/>
    <cellStyle name="Normal 8 2 2 2 2 3 6" xfId="22816"/>
    <cellStyle name="Normal 8 2 2 2 2 3 6 2" xfId="36929"/>
    <cellStyle name="Normal 8 2 2 2 2 3 7" xfId="22817"/>
    <cellStyle name="Normal 8 2 2 2 2 4" xfId="22818"/>
    <cellStyle name="Normal 8 2 2 2 2 4 2" xfId="22819"/>
    <cellStyle name="Normal 8 2 2 2 2 4 2 2" xfId="22820"/>
    <cellStyle name="Normal 8 2 2 2 2 4 2 2 2" xfId="22821"/>
    <cellStyle name="Normal 8 2 2 2 2 4 2 3" xfId="22822"/>
    <cellStyle name="Normal 8 2 2 2 2 4 3" xfId="22823"/>
    <cellStyle name="Normal 8 2 2 2 2 4 3 2" xfId="22824"/>
    <cellStyle name="Normal 8 2 2 2 2 4 4" xfId="22825"/>
    <cellStyle name="Normal 8 2 2 2 2 5" xfId="22826"/>
    <cellStyle name="Normal 8 2 2 2 2 5 2" xfId="22827"/>
    <cellStyle name="Normal 8 2 2 2 2 5 2 2" xfId="22828"/>
    <cellStyle name="Normal 8 2 2 2 2 5 3" xfId="22829"/>
    <cellStyle name="Normal 8 2 2 2 2 6" xfId="22830"/>
    <cellStyle name="Normal 8 2 2 2 2 6 2" xfId="22831"/>
    <cellStyle name="Normal 8 2 2 2 2 6 2 2" xfId="22832"/>
    <cellStyle name="Normal 8 2 2 2 2 6 3" xfId="22833"/>
    <cellStyle name="Normal 8 2 2 2 2 7" xfId="22834"/>
    <cellStyle name="Normal 8 2 2 2 2 7 2" xfId="22835"/>
    <cellStyle name="Normal 8 2 2 2 2 8" xfId="22836"/>
    <cellStyle name="Normal 8 2 2 2 2 8 2" xfId="36930"/>
    <cellStyle name="Normal 8 2 2 2 2 9" xfId="22837"/>
    <cellStyle name="Normal 8 2 2 2 3" xfId="22838"/>
    <cellStyle name="Normal 8 2 2 2 3 2" xfId="22839"/>
    <cellStyle name="Normal 8 2 2 2 3 2 2" xfId="22840"/>
    <cellStyle name="Normal 8 2 2 2 3 2 2 2" xfId="22841"/>
    <cellStyle name="Normal 8 2 2 2 3 2 2 2 2" xfId="22842"/>
    <cellStyle name="Normal 8 2 2 2 3 2 2 2 3" xfId="22843"/>
    <cellStyle name="Normal 8 2 2 2 3 2 2 3" xfId="22844"/>
    <cellStyle name="Normal 8 2 2 2 3 2 2 3 2" xfId="22845"/>
    <cellStyle name="Normal 8 2 2 2 3 2 2 4" xfId="22846"/>
    <cellStyle name="Normal 8 2 2 2 3 2 3" xfId="22847"/>
    <cellStyle name="Normal 8 2 2 2 3 2 3 2" xfId="22848"/>
    <cellStyle name="Normal 8 2 2 2 3 2 3 2 2" xfId="22849"/>
    <cellStyle name="Normal 8 2 2 2 3 2 3 3" xfId="22850"/>
    <cellStyle name="Normal 8 2 2 2 3 2 4" xfId="22851"/>
    <cellStyle name="Normal 8 2 2 2 3 2 4 2" xfId="22852"/>
    <cellStyle name="Normal 8 2 2 2 3 2 4 3" xfId="22853"/>
    <cellStyle name="Normal 8 2 2 2 3 2 5" xfId="22854"/>
    <cellStyle name="Normal 8 2 2 2 3 2 5 2" xfId="22855"/>
    <cellStyle name="Normal 8 2 2 2 3 2 6" xfId="22856"/>
    <cellStyle name="Normal 8 2 2 2 3 2 6 2" xfId="36931"/>
    <cellStyle name="Normal 8 2 2 2 3 2 7" xfId="22857"/>
    <cellStyle name="Normal 8 2 2 2 3 3" xfId="22858"/>
    <cellStyle name="Normal 8 2 2 2 3 3 2" xfId="22859"/>
    <cellStyle name="Normal 8 2 2 2 3 3 2 2" xfId="22860"/>
    <cellStyle name="Normal 8 2 2 2 3 3 2 2 2" xfId="22861"/>
    <cellStyle name="Normal 8 2 2 2 3 3 2 3" xfId="22862"/>
    <cellStyle name="Normal 8 2 2 2 3 3 3" xfId="22863"/>
    <cellStyle name="Normal 8 2 2 2 3 3 3 2" xfId="22864"/>
    <cellStyle name="Normal 8 2 2 2 3 3 4" xfId="22865"/>
    <cellStyle name="Normal 8 2 2 2 3 4" xfId="22866"/>
    <cellStyle name="Normal 8 2 2 2 3 4 2" xfId="22867"/>
    <cellStyle name="Normal 8 2 2 2 3 4 2 2" xfId="22868"/>
    <cellStyle name="Normal 8 2 2 2 3 4 3" xfId="22869"/>
    <cellStyle name="Normal 8 2 2 2 3 5" xfId="22870"/>
    <cellStyle name="Normal 8 2 2 2 3 5 2" xfId="22871"/>
    <cellStyle name="Normal 8 2 2 2 3 5 2 2" xfId="22872"/>
    <cellStyle name="Normal 8 2 2 2 3 5 3" xfId="22873"/>
    <cellStyle name="Normal 8 2 2 2 3 6" xfId="22874"/>
    <cellStyle name="Normal 8 2 2 2 3 6 2" xfId="22875"/>
    <cellStyle name="Normal 8 2 2 2 3 7" xfId="22876"/>
    <cellStyle name="Normal 8 2 2 2 3 7 2" xfId="36932"/>
    <cellStyle name="Normal 8 2 2 2 3 8" xfId="22877"/>
    <cellStyle name="Normal 8 2 2 2 4" xfId="22878"/>
    <cellStyle name="Normal 8 2 2 2 4 2" xfId="22879"/>
    <cellStyle name="Normal 8 2 2 2 4 2 2" xfId="22880"/>
    <cellStyle name="Normal 8 2 2 2 4 2 2 2" xfId="22881"/>
    <cellStyle name="Normal 8 2 2 2 4 2 2 3" xfId="22882"/>
    <cellStyle name="Normal 8 2 2 2 4 2 3" xfId="22883"/>
    <cellStyle name="Normal 8 2 2 2 4 2 3 2" xfId="22884"/>
    <cellStyle name="Normal 8 2 2 2 4 2 4" xfId="22885"/>
    <cellStyle name="Normal 8 2 2 2 4 3" xfId="22886"/>
    <cellStyle name="Normal 8 2 2 2 4 3 2" xfId="22887"/>
    <cellStyle name="Normal 8 2 2 2 4 3 2 2" xfId="22888"/>
    <cellStyle name="Normal 8 2 2 2 4 3 3" xfId="22889"/>
    <cellStyle name="Normal 8 2 2 2 4 4" xfId="22890"/>
    <cellStyle name="Normal 8 2 2 2 4 4 2" xfId="22891"/>
    <cellStyle name="Normal 8 2 2 2 4 4 3" xfId="22892"/>
    <cellStyle name="Normal 8 2 2 2 4 5" xfId="22893"/>
    <cellStyle name="Normal 8 2 2 2 4 5 2" xfId="22894"/>
    <cellStyle name="Normal 8 2 2 2 4 6" xfId="22895"/>
    <cellStyle name="Normal 8 2 2 2 4 6 2" xfId="36933"/>
    <cellStyle name="Normal 8 2 2 2 4 7" xfId="22896"/>
    <cellStyle name="Normal 8 2 2 2 5" xfId="22897"/>
    <cellStyle name="Normal 8 2 2 2 5 2" xfId="22898"/>
    <cellStyle name="Normal 8 2 2 2 5 2 2" xfId="22899"/>
    <cellStyle name="Normal 8 2 2 2 5 2 2 2" xfId="22900"/>
    <cellStyle name="Normal 8 2 2 2 5 2 3" xfId="22901"/>
    <cellStyle name="Normal 8 2 2 2 5 3" xfId="22902"/>
    <cellStyle name="Normal 8 2 2 2 5 3 2" xfId="22903"/>
    <cellStyle name="Normal 8 2 2 2 5 4" xfId="22904"/>
    <cellStyle name="Normal 8 2 2 2 6" xfId="22905"/>
    <cellStyle name="Normal 8 2 2 2 6 2" xfId="22906"/>
    <cellStyle name="Normal 8 2 2 2 6 2 2" xfId="22907"/>
    <cellStyle name="Normal 8 2 2 2 6 3" xfId="22908"/>
    <cellStyle name="Normal 8 2 2 2 7" xfId="22909"/>
    <cellStyle name="Normal 8 2 2 2 7 2" xfId="22910"/>
    <cellStyle name="Normal 8 2 2 2 7 2 2" xfId="22911"/>
    <cellStyle name="Normal 8 2 2 2 7 3" xfId="22912"/>
    <cellStyle name="Normal 8 2 2 2 8" xfId="22913"/>
    <cellStyle name="Normal 8 2 2 2 8 2" xfId="22914"/>
    <cellStyle name="Normal 8 2 2 2 9" xfId="22915"/>
    <cellStyle name="Normal 8 2 2 2 9 2" xfId="36934"/>
    <cellStyle name="Normal 8 2 2 3" xfId="22916"/>
    <cellStyle name="Normal 8 2 2 3 2" xfId="22917"/>
    <cellStyle name="Normal 8 2 2 3 2 2" xfId="22918"/>
    <cellStyle name="Normal 8 2 2 3 2 2 2" xfId="22919"/>
    <cellStyle name="Normal 8 2 2 3 2 2 2 2" xfId="22920"/>
    <cellStyle name="Normal 8 2 2 3 2 2 2 2 2" xfId="22921"/>
    <cellStyle name="Normal 8 2 2 3 2 2 2 2 3" xfId="22922"/>
    <cellStyle name="Normal 8 2 2 3 2 2 2 3" xfId="22923"/>
    <cellStyle name="Normal 8 2 2 3 2 2 2 3 2" xfId="22924"/>
    <cellStyle name="Normal 8 2 2 3 2 2 2 4" xfId="22925"/>
    <cellStyle name="Normal 8 2 2 3 2 2 3" xfId="22926"/>
    <cellStyle name="Normal 8 2 2 3 2 2 3 2" xfId="22927"/>
    <cellStyle name="Normal 8 2 2 3 2 2 3 2 2" xfId="22928"/>
    <cellStyle name="Normal 8 2 2 3 2 2 3 3" xfId="22929"/>
    <cellStyle name="Normal 8 2 2 3 2 2 4" xfId="22930"/>
    <cellStyle name="Normal 8 2 2 3 2 2 4 2" xfId="22931"/>
    <cellStyle name="Normal 8 2 2 3 2 2 4 3" xfId="22932"/>
    <cellStyle name="Normal 8 2 2 3 2 2 5" xfId="22933"/>
    <cellStyle name="Normal 8 2 2 3 2 2 5 2" xfId="22934"/>
    <cellStyle name="Normal 8 2 2 3 2 2 6" xfId="22935"/>
    <cellStyle name="Normal 8 2 2 3 2 2 6 2" xfId="36935"/>
    <cellStyle name="Normal 8 2 2 3 2 2 7" xfId="22936"/>
    <cellStyle name="Normal 8 2 2 3 2 3" xfId="22937"/>
    <cellStyle name="Normal 8 2 2 3 2 3 2" xfId="22938"/>
    <cellStyle name="Normal 8 2 2 3 2 3 2 2" xfId="22939"/>
    <cellStyle name="Normal 8 2 2 3 2 3 2 2 2" xfId="22940"/>
    <cellStyle name="Normal 8 2 2 3 2 3 2 3" xfId="22941"/>
    <cellStyle name="Normal 8 2 2 3 2 3 3" xfId="22942"/>
    <cellStyle name="Normal 8 2 2 3 2 3 3 2" xfId="22943"/>
    <cellStyle name="Normal 8 2 2 3 2 3 4" xfId="22944"/>
    <cellStyle name="Normal 8 2 2 3 2 4" xfId="22945"/>
    <cellStyle name="Normal 8 2 2 3 2 4 2" xfId="22946"/>
    <cellStyle name="Normal 8 2 2 3 2 4 2 2" xfId="22947"/>
    <cellStyle name="Normal 8 2 2 3 2 4 3" xfId="22948"/>
    <cellStyle name="Normal 8 2 2 3 2 5" xfId="22949"/>
    <cellStyle name="Normal 8 2 2 3 2 5 2" xfId="22950"/>
    <cellStyle name="Normal 8 2 2 3 2 5 2 2" xfId="22951"/>
    <cellStyle name="Normal 8 2 2 3 2 5 3" xfId="22952"/>
    <cellStyle name="Normal 8 2 2 3 2 6" xfId="22953"/>
    <cellStyle name="Normal 8 2 2 3 2 6 2" xfId="22954"/>
    <cellStyle name="Normal 8 2 2 3 2 7" xfId="22955"/>
    <cellStyle name="Normal 8 2 2 3 2 7 2" xfId="36936"/>
    <cellStyle name="Normal 8 2 2 3 2 8" xfId="22956"/>
    <cellStyle name="Normal 8 2 2 3 3" xfId="22957"/>
    <cellStyle name="Normal 8 2 2 3 3 2" xfId="22958"/>
    <cellStyle name="Normal 8 2 2 3 3 2 2" xfId="22959"/>
    <cellStyle name="Normal 8 2 2 3 3 2 2 2" xfId="22960"/>
    <cellStyle name="Normal 8 2 2 3 3 2 2 3" xfId="22961"/>
    <cellStyle name="Normal 8 2 2 3 3 2 3" xfId="22962"/>
    <cellStyle name="Normal 8 2 2 3 3 2 3 2" xfId="22963"/>
    <cellStyle name="Normal 8 2 2 3 3 2 4" xfId="22964"/>
    <cellStyle name="Normal 8 2 2 3 3 3" xfId="22965"/>
    <cellStyle name="Normal 8 2 2 3 3 3 2" xfId="22966"/>
    <cellStyle name="Normal 8 2 2 3 3 3 2 2" xfId="22967"/>
    <cellStyle name="Normal 8 2 2 3 3 3 3" xfId="22968"/>
    <cellStyle name="Normal 8 2 2 3 3 4" xfId="22969"/>
    <cellStyle name="Normal 8 2 2 3 3 4 2" xfId="22970"/>
    <cellStyle name="Normal 8 2 2 3 3 4 3" xfId="22971"/>
    <cellStyle name="Normal 8 2 2 3 3 5" xfId="22972"/>
    <cellStyle name="Normal 8 2 2 3 3 5 2" xfId="22973"/>
    <cellStyle name="Normal 8 2 2 3 3 6" xfId="22974"/>
    <cellStyle name="Normal 8 2 2 3 3 6 2" xfId="36937"/>
    <cellStyle name="Normal 8 2 2 3 3 7" xfId="22975"/>
    <cellStyle name="Normal 8 2 2 3 4" xfId="22976"/>
    <cellStyle name="Normal 8 2 2 3 4 2" xfId="22977"/>
    <cellStyle name="Normal 8 2 2 3 4 2 2" xfId="22978"/>
    <cellStyle name="Normal 8 2 2 3 4 2 2 2" xfId="22979"/>
    <cellStyle name="Normal 8 2 2 3 4 2 3" xfId="22980"/>
    <cellStyle name="Normal 8 2 2 3 4 3" xfId="22981"/>
    <cellStyle name="Normal 8 2 2 3 4 3 2" xfId="22982"/>
    <cellStyle name="Normal 8 2 2 3 4 4" xfId="22983"/>
    <cellStyle name="Normal 8 2 2 3 5" xfId="22984"/>
    <cellStyle name="Normal 8 2 2 3 5 2" xfId="22985"/>
    <cellStyle name="Normal 8 2 2 3 5 2 2" xfId="22986"/>
    <cellStyle name="Normal 8 2 2 3 5 3" xfId="22987"/>
    <cellStyle name="Normal 8 2 2 3 6" xfId="22988"/>
    <cellStyle name="Normal 8 2 2 3 6 2" xfId="22989"/>
    <cellStyle name="Normal 8 2 2 3 6 2 2" xfId="22990"/>
    <cellStyle name="Normal 8 2 2 3 6 3" xfId="22991"/>
    <cellStyle name="Normal 8 2 2 3 7" xfId="22992"/>
    <cellStyle name="Normal 8 2 2 3 7 2" xfId="22993"/>
    <cellStyle name="Normal 8 2 2 3 8" xfId="22994"/>
    <cellStyle name="Normal 8 2 2 3 8 2" xfId="36938"/>
    <cellStyle name="Normal 8 2 2 3 9" xfId="22995"/>
    <cellStyle name="Normal 8 2 2 4" xfId="22996"/>
    <cellStyle name="Normal 8 2 2 4 2" xfId="22997"/>
    <cellStyle name="Normal 8 2 2 4 2 2" xfId="22998"/>
    <cellStyle name="Normal 8 2 2 4 2 2 2" xfId="22999"/>
    <cellStyle name="Normal 8 2 2 4 2 2 2 2" xfId="23000"/>
    <cellStyle name="Normal 8 2 2 4 2 2 2 2 2" xfId="23001"/>
    <cellStyle name="Normal 8 2 2 4 2 2 2 2 3" xfId="23002"/>
    <cellStyle name="Normal 8 2 2 4 2 2 2 3" xfId="23003"/>
    <cellStyle name="Normal 8 2 2 4 2 2 2 3 2" xfId="23004"/>
    <cellStyle name="Normal 8 2 2 4 2 2 2 4" xfId="23005"/>
    <cellStyle name="Normal 8 2 2 4 2 2 3" xfId="23006"/>
    <cellStyle name="Normal 8 2 2 4 2 2 3 2" xfId="23007"/>
    <cellStyle name="Normal 8 2 2 4 2 2 3 2 2" xfId="23008"/>
    <cellStyle name="Normal 8 2 2 4 2 2 3 3" xfId="23009"/>
    <cellStyle name="Normal 8 2 2 4 2 2 4" xfId="23010"/>
    <cellStyle name="Normal 8 2 2 4 2 2 4 2" xfId="23011"/>
    <cellStyle name="Normal 8 2 2 4 2 2 4 3" xfId="23012"/>
    <cellStyle name="Normal 8 2 2 4 2 2 5" xfId="23013"/>
    <cellStyle name="Normal 8 2 2 4 2 2 5 2" xfId="23014"/>
    <cellStyle name="Normal 8 2 2 4 2 2 6" xfId="23015"/>
    <cellStyle name="Normal 8 2 2 4 2 2 6 2" xfId="36939"/>
    <cellStyle name="Normal 8 2 2 4 2 2 7" xfId="23016"/>
    <cellStyle name="Normal 8 2 2 4 2 3" xfId="23017"/>
    <cellStyle name="Normal 8 2 2 4 2 3 2" xfId="23018"/>
    <cellStyle name="Normal 8 2 2 4 2 3 2 2" xfId="23019"/>
    <cellStyle name="Normal 8 2 2 4 2 3 2 2 2" xfId="23020"/>
    <cellStyle name="Normal 8 2 2 4 2 3 2 3" xfId="23021"/>
    <cellStyle name="Normal 8 2 2 4 2 3 3" xfId="23022"/>
    <cellStyle name="Normal 8 2 2 4 2 3 3 2" xfId="23023"/>
    <cellStyle name="Normal 8 2 2 4 2 3 4" xfId="23024"/>
    <cellStyle name="Normal 8 2 2 4 2 4" xfId="23025"/>
    <cellStyle name="Normal 8 2 2 4 2 4 2" xfId="23026"/>
    <cellStyle name="Normal 8 2 2 4 2 4 2 2" xfId="23027"/>
    <cellStyle name="Normal 8 2 2 4 2 4 3" xfId="23028"/>
    <cellStyle name="Normal 8 2 2 4 2 5" xfId="23029"/>
    <cellStyle name="Normal 8 2 2 4 2 5 2" xfId="23030"/>
    <cellStyle name="Normal 8 2 2 4 2 5 2 2" xfId="23031"/>
    <cellStyle name="Normal 8 2 2 4 2 5 3" xfId="23032"/>
    <cellStyle name="Normal 8 2 2 4 2 6" xfId="23033"/>
    <cellStyle name="Normal 8 2 2 4 2 6 2" xfId="23034"/>
    <cellStyle name="Normal 8 2 2 4 2 7" xfId="23035"/>
    <cellStyle name="Normal 8 2 2 4 2 7 2" xfId="36940"/>
    <cellStyle name="Normal 8 2 2 4 2 8" xfId="23036"/>
    <cellStyle name="Normal 8 2 2 4 3" xfId="23037"/>
    <cellStyle name="Normal 8 2 2 4 3 2" xfId="23038"/>
    <cellStyle name="Normal 8 2 2 4 3 2 2" xfId="23039"/>
    <cellStyle name="Normal 8 2 2 4 3 2 2 2" xfId="23040"/>
    <cellStyle name="Normal 8 2 2 4 3 2 2 3" xfId="23041"/>
    <cellStyle name="Normal 8 2 2 4 3 2 3" xfId="23042"/>
    <cellStyle name="Normal 8 2 2 4 3 2 3 2" xfId="23043"/>
    <cellStyle name="Normal 8 2 2 4 3 2 4" xfId="23044"/>
    <cellStyle name="Normal 8 2 2 4 3 3" xfId="23045"/>
    <cellStyle name="Normal 8 2 2 4 3 3 2" xfId="23046"/>
    <cellStyle name="Normal 8 2 2 4 3 3 2 2" xfId="23047"/>
    <cellStyle name="Normal 8 2 2 4 3 3 3" xfId="23048"/>
    <cellStyle name="Normal 8 2 2 4 3 4" xfId="23049"/>
    <cellStyle name="Normal 8 2 2 4 3 4 2" xfId="23050"/>
    <cellStyle name="Normal 8 2 2 4 3 4 3" xfId="23051"/>
    <cellStyle name="Normal 8 2 2 4 3 5" xfId="23052"/>
    <cellStyle name="Normal 8 2 2 4 3 5 2" xfId="23053"/>
    <cellStyle name="Normal 8 2 2 4 3 6" xfId="23054"/>
    <cellStyle name="Normal 8 2 2 4 3 6 2" xfId="36941"/>
    <cellStyle name="Normal 8 2 2 4 3 7" xfId="23055"/>
    <cellStyle name="Normal 8 2 2 4 4" xfId="23056"/>
    <cellStyle name="Normal 8 2 2 4 4 2" xfId="23057"/>
    <cellStyle name="Normal 8 2 2 4 4 2 2" xfId="23058"/>
    <cellStyle name="Normal 8 2 2 4 4 2 2 2" xfId="23059"/>
    <cellStyle name="Normal 8 2 2 4 4 2 3" xfId="23060"/>
    <cellStyle name="Normal 8 2 2 4 4 3" xfId="23061"/>
    <cellStyle name="Normal 8 2 2 4 4 3 2" xfId="23062"/>
    <cellStyle name="Normal 8 2 2 4 4 4" xfId="23063"/>
    <cellStyle name="Normal 8 2 2 4 5" xfId="23064"/>
    <cellStyle name="Normal 8 2 2 4 5 2" xfId="23065"/>
    <cellStyle name="Normal 8 2 2 4 5 2 2" xfId="23066"/>
    <cellStyle name="Normal 8 2 2 4 5 3" xfId="23067"/>
    <cellStyle name="Normal 8 2 2 4 6" xfId="23068"/>
    <cellStyle name="Normal 8 2 2 4 6 2" xfId="23069"/>
    <cellStyle name="Normal 8 2 2 4 6 2 2" xfId="23070"/>
    <cellStyle name="Normal 8 2 2 4 6 3" xfId="23071"/>
    <cellStyle name="Normal 8 2 2 4 7" xfId="23072"/>
    <cellStyle name="Normal 8 2 2 4 7 2" xfId="23073"/>
    <cellStyle name="Normal 8 2 2 4 8" xfId="23074"/>
    <cellStyle name="Normal 8 2 2 4 8 2" xfId="36942"/>
    <cellStyle name="Normal 8 2 2 4 9" xfId="23075"/>
    <cellStyle name="Normal 8 2 2 5" xfId="23076"/>
    <cellStyle name="Normal 8 2 2 5 2" xfId="23077"/>
    <cellStyle name="Normal 8 2 2 5 2 2" xfId="23078"/>
    <cellStyle name="Normal 8 2 2 5 2 2 2" xfId="23079"/>
    <cellStyle name="Normal 8 2 2 5 2 2 2 2" xfId="23080"/>
    <cellStyle name="Normal 8 2 2 5 2 2 2 3" xfId="23081"/>
    <cellStyle name="Normal 8 2 2 5 2 2 3" xfId="23082"/>
    <cellStyle name="Normal 8 2 2 5 2 2 3 2" xfId="23083"/>
    <cellStyle name="Normal 8 2 2 5 2 2 4" xfId="23084"/>
    <cellStyle name="Normal 8 2 2 5 2 3" xfId="23085"/>
    <cellStyle name="Normal 8 2 2 5 2 3 2" xfId="23086"/>
    <cellStyle name="Normal 8 2 2 5 2 3 2 2" xfId="23087"/>
    <cellStyle name="Normal 8 2 2 5 2 3 3" xfId="23088"/>
    <cellStyle name="Normal 8 2 2 5 2 4" xfId="23089"/>
    <cellStyle name="Normal 8 2 2 5 2 4 2" xfId="23090"/>
    <cellStyle name="Normal 8 2 2 5 2 4 3" xfId="23091"/>
    <cellStyle name="Normal 8 2 2 5 2 5" xfId="23092"/>
    <cellStyle name="Normal 8 2 2 5 2 5 2" xfId="23093"/>
    <cellStyle name="Normal 8 2 2 5 2 6" xfId="23094"/>
    <cellStyle name="Normal 8 2 2 5 2 6 2" xfId="36943"/>
    <cellStyle name="Normal 8 2 2 5 2 7" xfId="23095"/>
    <cellStyle name="Normal 8 2 2 5 3" xfId="23096"/>
    <cellStyle name="Normal 8 2 2 5 3 2" xfId="23097"/>
    <cellStyle name="Normal 8 2 2 5 3 2 2" xfId="23098"/>
    <cellStyle name="Normal 8 2 2 5 3 2 2 2" xfId="23099"/>
    <cellStyle name="Normal 8 2 2 5 3 2 3" xfId="23100"/>
    <cellStyle name="Normal 8 2 2 5 3 3" xfId="23101"/>
    <cellStyle name="Normal 8 2 2 5 3 3 2" xfId="23102"/>
    <cellStyle name="Normal 8 2 2 5 3 4" xfId="23103"/>
    <cellStyle name="Normal 8 2 2 5 4" xfId="23104"/>
    <cellStyle name="Normal 8 2 2 5 4 2" xfId="23105"/>
    <cellStyle name="Normal 8 2 2 5 4 2 2" xfId="23106"/>
    <cellStyle name="Normal 8 2 2 5 4 3" xfId="23107"/>
    <cellStyle name="Normal 8 2 2 5 5" xfId="23108"/>
    <cellStyle name="Normal 8 2 2 5 5 2" xfId="23109"/>
    <cellStyle name="Normal 8 2 2 5 5 2 2" xfId="23110"/>
    <cellStyle name="Normal 8 2 2 5 5 3" xfId="23111"/>
    <cellStyle name="Normal 8 2 2 5 6" xfId="23112"/>
    <cellStyle name="Normal 8 2 2 5 6 2" xfId="23113"/>
    <cellStyle name="Normal 8 2 2 5 7" xfId="23114"/>
    <cellStyle name="Normal 8 2 2 5 7 2" xfId="36944"/>
    <cellStyle name="Normal 8 2 2 5 8" xfId="23115"/>
    <cellStyle name="Normal 8 2 2 6" xfId="23116"/>
    <cellStyle name="Normal 8 2 2 6 2" xfId="23117"/>
    <cellStyle name="Normal 8 2 2 6 2 2" xfId="23118"/>
    <cellStyle name="Normal 8 2 2 6 2 2 2" xfId="23119"/>
    <cellStyle name="Normal 8 2 2 6 2 2 2 2" xfId="23120"/>
    <cellStyle name="Normal 8 2 2 6 2 2 2 3" xfId="23121"/>
    <cellStyle name="Normal 8 2 2 6 2 2 3" xfId="23122"/>
    <cellStyle name="Normal 8 2 2 6 2 2 3 2" xfId="23123"/>
    <cellStyle name="Normal 8 2 2 6 2 2 4" xfId="23124"/>
    <cellStyle name="Normal 8 2 2 6 2 3" xfId="23125"/>
    <cellStyle name="Normal 8 2 2 6 2 3 2" xfId="23126"/>
    <cellStyle name="Normal 8 2 2 6 2 3 2 2" xfId="23127"/>
    <cellStyle name="Normal 8 2 2 6 2 3 3" xfId="23128"/>
    <cellStyle name="Normal 8 2 2 6 2 4" xfId="23129"/>
    <cellStyle name="Normal 8 2 2 6 2 4 2" xfId="23130"/>
    <cellStyle name="Normal 8 2 2 6 2 4 3" xfId="23131"/>
    <cellStyle name="Normal 8 2 2 6 2 5" xfId="23132"/>
    <cellStyle name="Normal 8 2 2 6 2 5 2" xfId="23133"/>
    <cellStyle name="Normal 8 2 2 6 2 6" xfId="23134"/>
    <cellStyle name="Normal 8 2 2 6 2 6 2" xfId="36945"/>
    <cellStyle name="Normal 8 2 2 6 2 7" xfId="23135"/>
    <cellStyle name="Normal 8 2 2 6 3" xfId="23136"/>
    <cellStyle name="Normal 8 2 2 6 3 2" xfId="23137"/>
    <cellStyle name="Normal 8 2 2 6 3 2 2" xfId="23138"/>
    <cellStyle name="Normal 8 2 2 6 3 2 2 2" xfId="23139"/>
    <cellStyle name="Normal 8 2 2 6 3 2 3" xfId="23140"/>
    <cellStyle name="Normal 8 2 2 6 3 3" xfId="23141"/>
    <cellStyle name="Normal 8 2 2 6 3 3 2" xfId="23142"/>
    <cellStyle name="Normal 8 2 2 6 3 4" xfId="23143"/>
    <cellStyle name="Normal 8 2 2 6 4" xfId="23144"/>
    <cellStyle name="Normal 8 2 2 6 4 2" xfId="23145"/>
    <cellStyle name="Normal 8 2 2 6 4 2 2" xfId="23146"/>
    <cellStyle name="Normal 8 2 2 6 4 3" xfId="23147"/>
    <cellStyle name="Normal 8 2 2 6 5" xfId="23148"/>
    <cellStyle name="Normal 8 2 2 6 5 2" xfId="23149"/>
    <cellStyle name="Normal 8 2 2 6 5 2 2" xfId="23150"/>
    <cellStyle name="Normal 8 2 2 6 5 3" xfId="23151"/>
    <cellStyle name="Normal 8 2 2 6 6" xfId="23152"/>
    <cellStyle name="Normal 8 2 2 6 6 2" xfId="23153"/>
    <cellStyle name="Normal 8 2 2 6 7" xfId="23154"/>
    <cellStyle name="Normal 8 2 2 6 7 2" xfId="36946"/>
    <cellStyle name="Normal 8 2 2 6 8" xfId="23155"/>
    <cellStyle name="Normal 8 2 2 7" xfId="23156"/>
    <cellStyle name="Normal 8 2 2 7 2" xfId="23157"/>
    <cellStyle name="Normal 8 2 2 7 2 2" xfId="23158"/>
    <cellStyle name="Normal 8 2 2 7 2 2 2" xfId="23159"/>
    <cellStyle name="Normal 8 2 2 7 2 2 2 2" xfId="23160"/>
    <cellStyle name="Normal 8 2 2 7 2 2 2 3" xfId="23161"/>
    <cellStyle name="Normal 8 2 2 7 2 2 3" xfId="23162"/>
    <cellStyle name="Normal 8 2 2 7 2 2 3 2" xfId="23163"/>
    <cellStyle name="Normal 8 2 2 7 2 2 4" xfId="23164"/>
    <cellStyle name="Normal 8 2 2 7 2 3" xfId="23165"/>
    <cellStyle name="Normal 8 2 2 7 2 3 2" xfId="23166"/>
    <cellStyle name="Normal 8 2 2 7 2 3 2 2" xfId="23167"/>
    <cellStyle name="Normal 8 2 2 7 2 3 3" xfId="23168"/>
    <cellStyle name="Normal 8 2 2 7 2 4" xfId="23169"/>
    <cellStyle name="Normal 8 2 2 7 2 4 2" xfId="23170"/>
    <cellStyle name="Normal 8 2 2 7 2 4 3" xfId="23171"/>
    <cellStyle name="Normal 8 2 2 7 2 5" xfId="23172"/>
    <cellStyle name="Normal 8 2 2 7 2 5 2" xfId="23173"/>
    <cellStyle name="Normal 8 2 2 7 2 6" xfId="23174"/>
    <cellStyle name="Normal 8 2 2 7 2 6 2" xfId="36947"/>
    <cellStyle name="Normal 8 2 2 7 2 7" xfId="23175"/>
    <cellStyle name="Normal 8 2 2 7 3" xfId="23176"/>
    <cellStyle name="Normal 8 2 2 7 3 2" xfId="23177"/>
    <cellStyle name="Normal 8 2 2 7 3 2 2" xfId="23178"/>
    <cellStyle name="Normal 8 2 2 7 3 2 2 2" xfId="23179"/>
    <cellStyle name="Normal 8 2 2 7 3 2 3" xfId="23180"/>
    <cellStyle name="Normal 8 2 2 7 3 3" xfId="23181"/>
    <cellStyle name="Normal 8 2 2 7 3 3 2" xfId="23182"/>
    <cellStyle name="Normal 8 2 2 7 3 4" xfId="23183"/>
    <cellStyle name="Normal 8 2 2 7 4" xfId="23184"/>
    <cellStyle name="Normal 8 2 2 7 4 2" xfId="23185"/>
    <cellStyle name="Normal 8 2 2 7 4 2 2" xfId="23186"/>
    <cellStyle name="Normal 8 2 2 7 4 3" xfId="23187"/>
    <cellStyle name="Normal 8 2 2 7 5" xfId="23188"/>
    <cellStyle name="Normal 8 2 2 7 5 2" xfId="23189"/>
    <cellStyle name="Normal 8 2 2 7 5 2 2" xfId="23190"/>
    <cellStyle name="Normal 8 2 2 7 5 3" xfId="23191"/>
    <cellStyle name="Normal 8 2 2 7 6" xfId="23192"/>
    <cellStyle name="Normal 8 2 2 7 6 2" xfId="23193"/>
    <cellStyle name="Normal 8 2 2 7 7" xfId="23194"/>
    <cellStyle name="Normal 8 2 2 7 7 2" xfId="36948"/>
    <cellStyle name="Normal 8 2 2 7 8" xfId="23195"/>
    <cellStyle name="Normal 8 2 2 8" xfId="23196"/>
    <cellStyle name="Normal 8 2 2 8 2" xfId="23197"/>
    <cellStyle name="Normal 8 2 2 8 2 2" xfId="23198"/>
    <cellStyle name="Normal 8 2 2 8 2 2 2" xfId="23199"/>
    <cellStyle name="Normal 8 2 2 8 2 2 3" xfId="23200"/>
    <cellStyle name="Normal 8 2 2 8 2 3" xfId="23201"/>
    <cellStyle name="Normal 8 2 2 8 2 3 2" xfId="23202"/>
    <cellStyle name="Normal 8 2 2 8 2 4" xfId="23203"/>
    <cellStyle name="Normal 8 2 2 8 3" xfId="23204"/>
    <cellStyle name="Normal 8 2 2 8 3 2" xfId="23205"/>
    <cellStyle name="Normal 8 2 2 8 3 2 2" xfId="23206"/>
    <cellStyle name="Normal 8 2 2 8 3 3" xfId="23207"/>
    <cellStyle name="Normal 8 2 2 8 4" xfId="23208"/>
    <cellStyle name="Normal 8 2 2 8 4 2" xfId="23209"/>
    <cellStyle name="Normal 8 2 2 8 4 3" xfId="23210"/>
    <cellStyle name="Normal 8 2 2 8 5" xfId="23211"/>
    <cellStyle name="Normal 8 2 2 8 5 2" xfId="23212"/>
    <cellStyle name="Normal 8 2 2 8 6" xfId="23213"/>
    <cellStyle name="Normal 8 2 2 8 6 2" xfId="36949"/>
    <cellStyle name="Normal 8 2 2 8 7" xfId="23214"/>
    <cellStyle name="Normal 8 2 2 9" xfId="23215"/>
    <cellStyle name="Normal 8 2 2 9 2" xfId="23216"/>
    <cellStyle name="Normal 8 2 2 9 2 2" xfId="23217"/>
    <cellStyle name="Normal 8 2 2 9 2 2 2" xfId="23218"/>
    <cellStyle name="Normal 8 2 2 9 2 3" xfId="23219"/>
    <cellStyle name="Normal 8 2 2 9 3" xfId="23220"/>
    <cellStyle name="Normal 8 2 2 9 3 2" xfId="23221"/>
    <cellStyle name="Normal 8 2 2 9 4" xfId="23222"/>
    <cellStyle name="Normal 8 2 3" xfId="23223"/>
    <cellStyle name="Normal 8 2 3 10" xfId="23224"/>
    <cellStyle name="Normal 8 2 3 10 2" xfId="23225"/>
    <cellStyle name="Normal 8 2 3 10 2 2" xfId="23226"/>
    <cellStyle name="Normal 8 2 3 10 3" xfId="23227"/>
    <cellStyle name="Normal 8 2 3 11" xfId="23228"/>
    <cellStyle name="Normal 8 2 3 11 2" xfId="23229"/>
    <cellStyle name="Normal 8 2 3 11 2 2" xfId="23230"/>
    <cellStyle name="Normal 8 2 3 11 3" xfId="23231"/>
    <cellStyle name="Normal 8 2 3 12" xfId="23232"/>
    <cellStyle name="Normal 8 2 3 12 2" xfId="23233"/>
    <cellStyle name="Normal 8 2 3 13" xfId="23234"/>
    <cellStyle name="Normal 8 2 3 13 2" xfId="36950"/>
    <cellStyle name="Normal 8 2 3 14" xfId="23235"/>
    <cellStyle name="Normal 8 2 3 2" xfId="23236"/>
    <cellStyle name="Normal 8 2 3 2 10" xfId="23237"/>
    <cellStyle name="Normal 8 2 3 2 2" xfId="23238"/>
    <cellStyle name="Normal 8 2 3 2 2 2" xfId="23239"/>
    <cellStyle name="Normal 8 2 3 2 2 2 2" xfId="23240"/>
    <cellStyle name="Normal 8 2 3 2 2 2 2 2" xfId="23241"/>
    <cellStyle name="Normal 8 2 3 2 2 2 2 2 2" xfId="23242"/>
    <cellStyle name="Normal 8 2 3 2 2 2 2 2 2 2" xfId="23243"/>
    <cellStyle name="Normal 8 2 3 2 2 2 2 2 2 3" xfId="23244"/>
    <cellStyle name="Normal 8 2 3 2 2 2 2 2 3" xfId="23245"/>
    <cellStyle name="Normal 8 2 3 2 2 2 2 2 3 2" xfId="23246"/>
    <cellStyle name="Normal 8 2 3 2 2 2 2 2 4" xfId="23247"/>
    <cellStyle name="Normal 8 2 3 2 2 2 2 3" xfId="23248"/>
    <cellStyle name="Normal 8 2 3 2 2 2 2 3 2" xfId="23249"/>
    <cellStyle name="Normal 8 2 3 2 2 2 2 3 2 2" xfId="23250"/>
    <cellStyle name="Normal 8 2 3 2 2 2 2 3 3" xfId="23251"/>
    <cellStyle name="Normal 8 2 3 2 2 2 2 4" xfId="23252"/>
    <cellStyle name="Normal 8 2 3 2 2 2 2 4 2" xfId="23253"/>
    <cellStyle name="Normal 8 2 3 2 2 2 2 4 3" xfId="23254"/>
    <cellStyle name="Normal 8 2 3 2 2 2 2 5" xfId="23255"/>
    <cellStyle name="Normal 8 2 3 2 2 2 2 5 2" xfId="23256"/>
    <cellStyle name="Normal 8 2 3 2 2 2 2 6" xfId="23257"/>
    <cellStyle name="Normal 8 2 3 2 2 2 2 6 2" xfId="36951"/>
    <cellStyle name="Normal 8 2 3 2 2 2 2 7" xfId="23258"/>
    <cellStyle name="Normal 8 2 3 2 2 2 3" xfId="23259"/>
    <cellStyle name="Normal 8 2 3 2 2 2 3 2" xfId="23260"/>
    <cellStyle name="Normal 8 2 3 2 2 2 3 2 2" xfId="23261"/>
    <cellStyle name="Normal 8 2 3 2 2 2 3 2 2 2" xfId="23262"/>
    <cellStyle name="Normal 8 2 3 2 2 2 3 2 3" xfId="23263"/>
    <cellStyle name="Normal 8 2 3 2 2 2 3 3" xfId="23264"/>
    <cellStyle name="Normal 8 2 3 2 2 2 3 3 2" xfId="23265"/>
    <cellStyle name="Normal 8 2 3 2 2 2 3 4" xfId="23266"/>
    <cellStyle name="Normal 8 2 3 2 2 2 4" xfId="23267"/>
    <cellStyle name="Normal 8 2 3 2 2 2 4 2" xfId="23268"/>
    <cellStyle name="Normal 8 2 3 2 2 2 4 2 2" xfId="23269"/>
    <cellStyle name="Normal 8 2 3 2 2 2 4 3" xfId="23270"/>
    <cellStyle name="Normal 8 2 3 2 2 2 5" xfId="23271"/>
    <cellStyle name="Normal 8 2 3 2 2 2 5 2" xfId="23272"/>
    <cellStyle name="Normal 8 2 3 2 2 2 5 2 2" xfId="23273"/>
    <cellStyle name="Normal 8 2 3 2 2 2 5 3" xfId="23274"/>
    <cellStyle name="Normal 8 2 3 2 2 2 6" xfId="23275"/>
    <cellStyle name="Normal 8 2 3 2 2 2 6 2" xfId="23276"/>
    <cellStyle name="Normal 8 2 3 2 2 2 7" xfId="23277"/>
    <cellStyle name="Normal 8 2 3 2 2 2 7 2" xfId="36952"/>
    <cellStyle name="Normal 8 2 3 2 2 2 8" xfId="23278"/>
    <cellStyle name="Normal 8 2 3 2 2 3" xfId="23279"/>
    <cellStyle name="Normal 8 2 3 2 2 3 2" xfId="23280"/>
    <cellStyle name="Normal 8 2 3 2 2 3 2 2" xfId="23281"/>
    <cellStyle name="Normal 8 2 3 2 2 3 2 2 2" xfId="23282"/>
    <cellStyle name="Normal 8 2 3 2 2 3 2 2 3" xfId="23283"/>
    <cellStyle name="Normal 8 2 3 2 2 3 2 3" xfId="23284"/>
    <cellStyle name="Normal 8 2 3 2 2 3 2 3 2" xfId="23285"/>
    <cellStyle name="Normal 8 2 3 2 2 3 2 4" xfId="23286"/>
    <cellStyle name="Normal 8 2 3 2 2 3 3" xfId="23287"/>
    <cellStyle name="Normal 8 2 3 2 2 3 3 2" xfId="23288"/>
    <cellStyle name="Normal 8 2 3 2 2 3 3 2 2" xfId="23289"/>
    <cellStyle name="Normal 8 2 3 2 2 3 3 3" xfId="23290"/>
    <cellStyle name="Normal 8 2 3 2 2 3 4" xfId="23291"/>
    <cellStyle name="Normal 8 2 3 2 2 3 4 2" xfId="23292"/>
    <cellStyle name="Normal 8 2 3 2 2 3 4 3" xfId="23293"/>
    <cellStyle name="Normal 8 2 3 2 2 3 5" xfId="23294"/>
    <cellStyle name="Normal 8 2 3 2 2 3 5 2" xfId="23295"/>
    <cellStyle name="Normal 8 2 3 2 2 3 6" xfId="23296"/>
    <cellStyle name="Normal 8 2 3 2 2 3 6 2" xfId="36953"/>
    <cellStyle name="Normal 8 2 3 2 2 3 7" xfId="23297"/>
    <cellStyle name="Normal 8 2 3 2 2 4" xfId="23298"/>
    <cellStyle name="Normal 8 2 3 2 2 4 2" xfId="23299"/>
    <cellStyle name="Normal 8 2 3 2 2 4 2 2" xfId="23300"/>
    <cellStyle name="Normal 8 2 3 2 2 4 2 2 2" xfId="23301"/>
    <cellStyle name="Normal 8 2 3 2 2 4 2 3" xfId="23302"/>
    <cellStyle name="Normal 8 2 3 2 2 4 3" xfId="23303"/>
    <cellStyle name="Normal 8 2 3 2 2 4 3 2" xfId="23304"/>
    <cellStyle name="Normal 8 2 3 2 2 4 4" xfId="23305"/>
    <cellStyle name="Normal 8 2 3 2 2 5" xfId="23306"/>
    <cellStyle name="Normal 8 2 3 2 2 5 2" xfId="23307"/>
    <cellStyle name="Normal 8 2 3 2 2 5 2 2" xfId="23308"/>
    <cellStyle name="Normal 8 2 3 2 2 5 3" xfId="23309"/>
    <cellStyle name="Normal 8 2 3 2 2 6" xfId="23310"/>
    <cellStyle name="Normal 8 2 3 2 2 6 2" xfId="23311"/>
    <cellStyle name="Normal 8 2 3 2 2 6 2 2" xfId="23312"/>
    <cellStyle name="Normal 8 2 3 2 2 6 3" xfId="23313"/>
    <cellStyle name="Normal 8 2 3 2 2 7" xfId="23314"/>
    <cellStyle name="Normal 8 2 3 2 2 7 2" xfId="23315"/>
    <cellStyle name="Normal 8 2 3 2 2 8" xfId="23316"/>
    <cellStyle name="Normal 8 2 3 2 2 8 2" xfId="36954"/>
    <cellStyle name="Normal 8 2 3 2 2 9" xfId="23317"/>
    <cellStyle name="Normal 8 2 3 2 3" xfId="23318"/>
    <cellStyle name="Normal 8 2 3 2 3 2" xfId="23319"/>
    <cellStyle name="Normal 8 2 3 2 3 2 2" xfId="23320"/>
    <cellStyle name="Normal 8 2 3 2 3 2 2 2" xfId="23321"/>
    <cellStyle name="Normal 8 2 3 2 3 2 2 2 2" xfId="23322"/>
    <cellStyle name="Normal 8 2 3 2 3 2 2 2 3" xfId="23323"/>
    <cellStyle name="Normal 8 2 3 2 3 2 2 3" xfId="23324"/>
    <cellStyle name="Normal 8 2 3 2 3 2 2 3 2" xfId="23325"/>
    <cellStyle name="Normal 8 2 3 2 3 2 2 4" xfId="23326"/>
    <cellStyle name="Normal 8 2 3 2 3 2 3" xfId="23327"/>
    <cellStyle name="Normal 8 2 3 2 3 2 3 2" xfId="23328"/>
    <cellStyle name="Normal 8 2 3 2 3 2 3 2 2" xfId="23329"/>
    <cellStyle name="Normal 8 2 3 2 3 2 3 3" xfId="23330"/>
    <cellStyle name="Normal 8 2 3 2 3 2 4" xfId="23331"/>
    <cellStyle name="Normal 8 2 3 2 3 2 4 2" xfId="23332"/>
    <cellStyle name="Normal 8 2 3 2 3 2 4 3" xfId="23333"/>
    <cellStyle name="Normal 8 2 3 2 3 2 5" xfId="23334"/>
    <cellStyle name="Normal 8 2 3 2 3 2 5 2" xfId="23335"/>
    <cellStyle name="Normal 8 2 3 2 3 2 6" xfId="23336"/>
    <cellStyle name="Normal 8 2 3 2 3 2 6 2" xfId="36955"/>
    <cellStyle name="Normal 8 2 3 2 3 2 7" xfId="23337"/>
    <cellStyle name="Normal 8 2 3 2 3 3" xfId="23338"/>
    <cellStyle name="Normal 8 2 3 2 3 3 2" xfId="23339"/>
    <cellStyle name="Normal 8 2 3 2 3 3 2 2" xfId="23340"/>
    <cellStyle name="Normal 8 2 3 2 3 3 2 2 2" xfId="23341"/>
    <cellStyle name="Normal 8 2 3 2 3 3 2 3" xfId="23342"/>
    <cellStyle name="Normal 8 2 3 2 3 3 3" xfId="23343"/>
    <cellStyle name="Normal 8 2 3 2 3 3 3 2" xfId="23344"/>
    <cellStyle name="Normal 8 2 3 2 3 3 4" xfId="23345"/>
    <cellStyle name="Normal 8 2 3 2 3 4" xfId="23346"/>
    <cellStyle name="Normal 8 2 3 2 3 4 2" xfId="23347"/>
    <cellStyle name="Normal 8 2 3 2 3 4 2 2" xfId="23348"/>
    <cellStyle name="Normal 8 2 3 2 3 4 3" xfId="23349"/>
    <cellStyle name="Normal 8 2 3 2 3 5" xfId="23350"/>
    <cellStyle name="Normal 8 2 3 2 3 5 2" xfId="23351"/>
    <cellStyle name="Normal 8 2 3 2 3 5 2 2" xfId="23352"/>
    <cellStyle name="Normal 8 2 3 2 3 5 3" xfId="23353"/>
    <cellStyle name="Normal 8 2 3 2 3 6" xfId="23354"/>
    <cellStyle name="Normal 8 2 3 2 3 6 2" xfId="23355"/>
    <cellStyle name="Normal 8 2 3 2 3 7" xfId="23356"/>
    <cellStyle name="Normal 8 2 3 2 3 7 2" xfId="36956"/>
    <cellStyle name="Normal 8 2 3 2 3 8" xfId="23357"/>
    <cellStyle name="Normal 8 2 3 2 4" xfId="23358"/>
    <cellStyle name="Normal 8 2 3 2 4 2" xfId="23359"/>
    <cellStyle name="Normal 8 2 3 2 4 2 2" xfId="23360"/>
    <cellStyle name="Normal 8 2 3 2 4 2 2 2" xfId="23361"/>
    <cellStyle name="Normal 8 2 3 2 4 2 2 3" xfId="23362"/>
    <cellStyle name="Normal 8 2 3 2 4 2 3" xfId="23363"/>
    <cellStyle name="Normal 8 2 3 2 4 2 3 2" xfId="23364"/>
    <cellStyle name="Normal 8 2 3 2 4 2 4" xfId="23365"/>
    <cellStyle name="Normal 8 2 3 2 4 3" xfId="23366"/>
    <cellStyle name="Normal 8 2 3 2 4 3 2" xfId="23367"/>
    <cellStyle name="Normal 8 2 3 2 4 3 2 2" xfId="23368"/>
    <cellStyle name="Normal 8 2 3 2 4 3 3" xfId="23369"/>
    <cellStyle name="Normal 8 2 3 2 4 4" xfId="23370"/>
    <cellStyle name="Normal 8 2 3 2 4 4 2" xfId="23371"/>
    <cellStyle name="Normal 8 2 3 2 4 4 3" xfId="23372"/>
    <cellStyle name="Normal 8 2 3 2 4 5" xfId="23373"/>
    <cellStyle name="Normal 8 2 3 2 4 5 2" xfId="23374"/>
    <cellStyle name="Normal 8 2 3 2 4 6" xfId="23375"/>
    <cellStyle name="Normal 8 2 3 2 4 6 2" xfId="36957"/>
    <cellStyle name="Normal 8 2 3 2 4 7" xfId="23376"/>
    <cellStyle name="Normal 8 2 3 2 5" xfId="23377"/>
    <cellStyle name="Normal 8 2 3 2 5 2" xfId="23378"/>
    <cellStyle name="Normal 8 2 3 2 5 2 2" xfId="23379"/>
    <cellStyle name="Normal 8 2 3 2 5 2 2 2" xfId="23380"/>
    <cellStyle name="Normal 8 2 3 2 5 2 3" xfId="23381"/>
    <cellStyle name="Normal 8 2 3 2 5 3" xfId="23382"/>
    <cellStyle name="Normal 8 2 3 2 5 3 2" xfId="23383"/>
    <cellStyle name="Normal 8 2 3 2 5 4" xfId="23384"/>
    <cellStyle name="Normal 8 2 3 2 6" xfId="23385"/>
    <cellStyle name="Normal 8 2 3 2 6 2" xfId="23386"/>
    <cellStyle name="Normal 8 2 3 2 6 2 2" xfId="23387"/>
    <cellStyle name="Normal 8 2 3 2 6 3" xfId="23388"/>
    <cellStyle name="Normal 8 2 3 2 7" xfId="23389"/>
    <cellStyle name="Normal 8 2 3 2 7 2" xfId="23390"/>
    <cellStyle name="Normal 8 2 3 2 7 2 2" xfId="23391"/>
    <cellStyle name="Normal 8 2 3 2 7 3" xfId="23392"/>
    <cellStyle name="Normal 8 2 3 2 8" xfId="23393"/>
    <cellStyle name="Normal 8 2 3 2 8 2" xfId="23394"/>
    <cellStyle name="Normal 8 2 3 2 9" xfId="23395"/>
    <cellStyle name="Normal 8 2 3 2 9 2" xfId="36958"/>
    <cellStyle name="Normal 8 2 3 3" xfId="23396"/>
    <cellStyle name="Normal 8 2 3 3 2" xfId="23397"/>
    <cellStyle name="Normal 8 2 3 3 2 2" xfId="23398"/>
    <cellStyle name="Normal 8 2 3 3 2 2 2" xfId="23399"/>
    <cellStyle name="Normal 8 2 3 3 2 2 2 2" xfId="23400"/>
    <cellStyle name="Normal 8 2 3 3 2 2 2 2 2" xfId="23401"/>
    <cellStyle name="Normal 8 2 3 3 2 2 2 2 3" xfId="23402"/>
    <cellStyle name="Normal 8 2 3 3 2 2 2 3" xfId="23403"/>
    <cellStyle name="Normal 8 2 3 3 2 2 2 3 2" xfId="23404"/>
    <cellStyle name="Normal 8 2 3 3 2 2 2 4" xfId="23405"/>
    <cellStyle name="Normal 8 2 3 3 2 2 3" xfId="23406"/>
    <cellStyle name="Normal 8 2 3 3 2 2 3 2" xfId="23407"/>
    <cellStyle name="Normal 8 2 3 3 2 2 3 2 2" xfId="23408"/>
    <cellStyle name="Normal 8 2 3 3 2 2 3 3" xfId="23409"/>
    <cellStyle name="Normal 8 2 3 3 2 2 4" xfId="23410"/>
    <cellStyle name="Normal 8 2 3 3 2 2 4 2" xfId="23411"/>
    <cellStyle name="Normal 8 2 3 3 2 2 4 3" xfId="23412"/>
    <cellStyle name="Normal 8 2 3 3 2 2 5" xfId="23413"/>
    <cellStyle name="Normal 8 2 3 3 2 2 5 2" xfId="23414"/>
    <cellStyle name="Normal 8 2 3 3 2 2 6" xfId="23415"/>
    <cellStyle name="Normal 8 2 3 3 2 2 6 2" xfId="36959"/>
    <cellStyle name="Normal 8 2 3 3 2 2 7" xfId="23416"/>
    <cellStyle name="Normal 8 2 3 3 2 3" xfId="23417"/>
    <cellStyle name="Normal 8 2 3 3 2 3 2" xfId="23418"/>
    <cellStyle name="Normal 8 2 3 3 2 3 2 2" xfId="23419"/>
    <cellStyle name="Normal 8 2 3 3 2 3 2 2 2" xfId="23420"/>
    <cellStyle name="Normal 8 2 3 3 2 3 2 3" xfId="23421"/>
    <cellStyle name="Normal 8 2 3 3 2 3 3" xfId="23422"/>
    <cellStyle name="Normal 8 2 3 3 2 3 3 2" xfId="23423"/>
    <cellStyle name="Normal 8 2 3 3 2 3 4" xfId="23424"/>
    <cellStyle name="Normal 8 2 3 3 2 4" xfId="23425"/>
    <cellStyle name="Normal 8 2 3 3 2 4 2" xfId="23426"/>
    <cellStyle name="Normal 8 2 3 3 2 4 2 2" xfId="23427"/>
    <cellStyle name="Normal 8 2 3 3 2 4 3" xfId="23428"/>
    <cellStyle name="Normal 8 2 3 3 2 5" xfId="23429"/>
    <cellStyle name="Normal 8 2 3 3 2 5 2" xfId="23430"/>
    <cellStyle name="Normal 8 2 3 3 2 5 2 2" xfId="23431"/>
    <cellStyle name="Normal 8 2 3 3 2 5 3" xfId="23432"/>
    <cellStyle name="Normal 8 2 3 3 2 6" xfId="23433"/>
    <cellStyle name="Normal 8 2 3 3 2 6 2" xfId="23434"/>
    <cellStyle name="Normal 8 2 3 3 2 7" xfId="23435"/>
    <cellStyle name="Normal 8 2 3 3 2 7 2" xfId="36960"/>
    <cellStyle name="Normal 8 2 3 3 2 8" xfId="23436"/>
    <cellStyle name="Normal 8 2 3 3 3" xfId="23437"/>
    <cellStyle name="Normal 8 2 3 3 3 2" xfId="23438"/>
    <cellStyle name="Normal 8 2 3 3 3 2 2" xfId="23439"/>
    <cellStyle name="Normal 8 2 3 3 3 2 2 2" xfId="23440"/>
    <cellStyle name="Normal 8 2 3 3 3 2 2 3" xfId="23441"/>
    <cellStyle name="Normal 8 2 3 3 3 2 3" xfId="23442"/>
    <cellStyle name="Normal 8 2 3 3 3 2 3 2" xfId="23443"/>
    <cellStyle name="Normal 8 2 3 3 3 2 4" xfId="23444"/>
    <cellStyle name="Normal 8 2 3 3 3 3" xfId="23445"/>
    <cellStyle name="Normal 8 2 3 3 3 3 2" xfId="23446"/>
    <cellStyle name="Normal 8 2 3 3 3 3 2 2" xfId="23447"/>
    <cellStyle name="Normal 8 2 3 3 3 3 3" xfId="23448"/>
    <cellStyle name="Normal 8 2 3 3 3 4" xfId="23449"/>
    <cellStyle name="Normal 8 2 3 3 3 4 2" xfId="23450"/>
    <cellStyle name="Normal 8 2 3 3 3 4 3" xfId="23451"/>
    <cellStyle name="Normal 8 2 3 3 3 5" xfId="23452"/>
    <cellStyle name="Normal 8 2 3 3 3 5 2" xfId="23453"/>
    <cellStyle name="Normal 8 2 3 3 3 6" xfId="23454"/>
    <cellStyle name="Normal 8 2 3 3 3 6 2" xfId="36961"/>
    <cellStyle name="Normal 8 2 3 3 3 7" xfId="23455"/>
    <cellStyle name="Normal 8 2 3 3 4" xfId="23456"/>
    <cellStyle name="Normal 8 2 3 3 4 2" xfId="23457"/>
    <cellStyle name="Normal 8 2 3 3 4 2 2" xfId="23458"/>
    <cellStyle name="Normal 8 2 3 3 4 2 2 2" xfId="23459"/>
    <cellStyle name="Normal 8 2 3 3 4 2 3" xfId="23460"/>
    <cellStyle name="Normal 8 2 3 3 4 3" xfId="23461"/>
    <cellStyle name="Normal 8 2 3 3 4 3 2" xfId="23462"/>
    <cellStyle name="Normal 8 2 3 3 4 4" xfId="23463"/>
    <cellStyle name="Normal 8 2 3 3 5" xfId="23464"/>
    <cellStyle name="Normal 8 2 3 3 5 2" xfId="23465"/>
    <cellStyle name="Normal 8 2 3 3 5 2 2" xfId="23466"/>
    <cellStyle name="Normal 8 2 3 3 5 3" xfId="23467"/>
    <cellStyle name="Normal 8 2 3 3 6" xfId="23468"/>
    <cellStyle name="Normal 8 2 3 3 6 2" xfId="23469"/>
    <cellStyle name="Normal 8 2 3 3 6 2 2" xfId="23470"/>
    <cellStyle name="Normal 8 2 3 3 6 3" xfId="23471"/>
    <cellStyle name="Normal 8 2 3 3 7" xfId="23472"/>
    <cellStyle name="Normal 8 2 3 3 7 2" xfId="23473"/>
    <cellStyle name="Normal 8 2 3 3 8" xfId="23474"/>
    <cellStyle name="Normal 8 2 3 3 8 2" xfId="36962"/>
    <cellStyle name="Normal 8 2 3 3 9" xfId="23475"/>
    <cellStyle name="Normal 8 2 3 4" xfId="23476"/>
    <cellStyle name="Normal 8 2 3 4 2" xfId="23477"/>
    <cellStyle name="Normal 8 2 3 4 2 2" xfId="23478"/>
    <cellStyle name="Normal 8 2 3 4 2 2 2" xfId="23479"/>
    <cellStyle name="Normal 8 2 3 4 2 2 2 2" xfId="23480"/>
    <cellStyle name="Normal 8 2 3 4 2 2 2 2 2" xfId="23481"/>
    <cellStyle name="Normal 8 2 3 4 2 2 2 2 3" xfId="23482"/>
    <cellStyle name="Normal 8 2 3 4 2 2 2 3" xfId="23483"/>
    <cellStyle name="Normal 8 2 3 4 2 2 2 3 2" xfId="23484"/>
    <cellStyle name="Normal 8 2 3 4 2 2 2 4" xfId="23485"/>
    <cellStyle name="Normal 8 2 3 4 2 2 3" xfId="23486"/>
    <cellStyle name="Normal 8 2 3 4 2 2 3 2" xfId="23487"/>
    <cellStyle name="Normal 8 2 3 4 2 2 3 2 2" xfId="23488"/>
    <cellStyle name="Normal 8 2 3 4 2 2 3 3" xfId="23489"/>
    <cellStyle name="Normal 8 2 3 4 2 2 4" xfId="23490"/>
    <cellStyle name="Normal 8 2 3 4 2 2 4 2" xfId="23491"/>
    <cellStyle name="Normal 8 2 3 4 2 2 4 3" xfId="23492"/>
    <cellStyle name="Normal 8 2 3 4 2 2 5" xfId="23493"/>
    <cellStyle name="Normal 8 2 3 4 2 2 5 2" xfId="23494"/>
    <cellStyle name="Normal 8 2 3 4 2 2 6" xfId="23495"/>
    <cellStyle name="Normal 8 2 3 4 2 2 6 2" xfId="36963"/>
    <cellStyle name="Normal 8 2 3 4 2 2 7" xfId="23496"/>
    <cellStyle name="Normal 8 2 3 4 2 3" xfId="23497"/>
    <cellStyle name="Normal 8 2 3 4 2 3 2" xfId="23498"/>
    <cellStyle name="Normal 8 2 3 4 2 3 2 2" xfId="23499"/>
    <cellStyle name="Normal 8 2 3 4 2 3 2 2 2" xfId="23500"/>
    <cellStyle name="Normal 8 2 3 4 2 3 2 3" xfId="23501"/>
    <cellStyle name="Normal 8 2 3 4 2 3 3" xfId="23502"/>
    <cellStyle name="Normal 8 2 3 4 2 3 3 2" xfId="23503"/>
    <cellStyle name="Normal 8 2 3 4 2 3 4" xfId="23504"/>
    <cellStyle name="Normal 8 2 3 4 2 4" xfId="23505"/>
    <cellStyle name="Normal 8 2 3 4 2 4 2" xfId="23506"/>
    <cellStyle name="Normal 8 2 3 4 2 4 2 2" xfId="23507"/>
    <cellStyle name="Normal 8 2 3 4 2 4 3" xfId="23508"/>
    <cellStyle name="Normal 8 2 3 4 2 5" xfId="23509"/>
    <cellStyle name="Normal 8 2 3 4 2 5 2" xfId="23510"/>
    <cellStyle name="Normal 8 2 3 4 2 5 2 2" xfId="23511"/>
    <cellStyle name="Normal 8 2 3 4 2 5 3" xfId="23512"/>
    <cellStyle name="Normal 8 2 3 4 2 6" xfId="23513"/>
    <cellStyle name="Normal 8 2 3 4 2 6 2" xfId="23514"/>
    <cellStyle name="Normal 8 2 3 4 2 7" xfId="23515"/>
    <cellStyle name="Normal 8 2 3 4 2 7 2" xfId="36964"/>
    <cellStyle name="Normal 8 2 3 4 2 8" xfId="23516"/>
    <cellStyle name="Normal 8 2 3 4 3" xfId="23517"/>
    <cellStyle name="Normal 8 2 3 4 3 2" xfId="23518"/>
    <cellStyle name="Normal 8 2 3 4 3 2 2" xfId="23519"/>
    <cellStyle name="Normal 8 2 3 4 3 2 2 2" xfId="23520"/>
    <cellStyle name="Normal 8 2 3 4 3 2 2 3" xfId="23521"/>
    <cellStyle name="Normal 8 2 3 4 3 2 3" xfId="23522"/>
    <cellStyle name="Normal 8 2 3 4 3 2 3 2" xfId="23523"/>
    <cellStyle name="Normal 8 2 3 4 3 2 4" xfId="23524"/>
    <cellStyle name="Normal 8 2 3 4 3 3" xfId="23525"/>
    <cellStyle name="Normal 8 2 3 4 3 3 2" xfId="23526"/>
    <cellStyle name="Normal 8 2 3 4 3 3 2 2" xfId="23527"/>
    <cellStyle name="Normal 8 2 3 4 3 3 3" xfId="23528"/>
    <cellStyle name="Normal 8 2 3 4 3 4" xfId="23529"/>
    <cellStyle name="Normal 8 2 3 4 3 4 2" xfId="23530"/>
    <cellStyle name="Normal 8 2 3 4 3 4 3" xfId="23531"/>
    <cellStyle name="Normal 8 2 3 4 3 5" xfId="23532"/>
    <cellStyle name="Normal 8 2 3 4 3 5 2" xfId="23533"/>
    <cellStyle name="Normal 8 2 3 4 3 6" xfId="23534"/>
    <cellStyle name="Normal 8 2 3 4 3 6 2" xfId="36965"/>
    <cellStyle name="Normal 8 2 3 4 3 7" xfId="23535"/>
    <cellStyle name="Normal 8 2 3 4 4" xfId="23536"/>
    <cellStyle name="Normal 8 2 3 4 4 2" xfId="23537"/>
    <cellStyle name="Normal 8 2 3 4 4 2 2" xfId="23538"/>
    <cellStyle name="Normal 8 2 3 4 4 2 2 2" xfId="23539"/>
    <cellStyle name="Normal 8 2 3 4 4 2 3" xfId="23540"/>
    <cellStyle name="Normal 8 2 3 4 4 3" xfId="23541"/>
    <cellStyle name="Normal 8 2 3 4 4 3 2" xfId="23542"/>
    <cellStyle name="Normal 8 2 3 4 4 4" xfId="23543"/>
    <cellStyle name="Normal 8 2 3 4 5" xfId="23544"/>
    <cellStyle name="Normal 8 2 3 4 5 2" xfId="23545"/>
    <cellStyle name="Normal 8 2 3 4 5 2 2" xfId="23546"/>
    <cellStyle name="Normal 8 2 3 4 5 3" xfId="23547"/>
    <cellStyle name="Normal 8 2 3 4 6" xfId="23548"/>
    <cellStyle name="Normal 8 2 3 4 6 2" xfId="23549"/>
    <cellStyle name="Normal 8 2 3 4 6 2 2" xfId="23550"/>
    <cellStyle name="Normal 8 2 3 4 6 3" xfId="23551"/>
    <cellStyle name="Normal 8 2 3 4 7" xfId="23552"/>
    <cellStyle name="Normal 8 2 3 4 7 2" xfId="23553"/>
    <cellStyle name="Normal 8 2 3 4 8" xfId="23554"/>
    <cellStyle name="Normal 8 2 3 4 8 2" xfId="36966"/>
    <cellStyle name="Normal 8 2 3 4 9" xfId="23555"/>
    <cellStyle name="Normal 8 2 3 5" xfId="23556"/>
    <cellStyle name="Normal 8 2 3 5 2" xfId="23557"/>
    <cellStyle name="Normal 8 2 3 5 2 2" xfId="23558"/>
    <cellStyle name="Normal 8 2 3 5 2 2 2" xfId="23559"/>
    <cellStyle name="Normal 8 2 3 5 2 2 2 2" xfId="23560"/>
    <cellStyle name="Normal 8 2 3 5 2 2 2 3" xfId="23561"/>
    <cellStyle name="Normal 8 2 3 5 2 2 3" xfId="23562"/>
    <cellStyle name="Normal 8 2 3 5 2 2 3 2" xfId="23563"/>
    <cellStyle name="Normal 8 2 3 5 2 2 4" xfId="23564"/>
    <cellStyle name="Normal 8 2 3 5 2 3" xfId="23565"/>
    <cellStyle name="Normal 8 2 3 5 2 3 2" xfId="23566"/>
    <cellStyle name="Normal 8 2 3 5 2 3 2 2" xfId="23567"/>
    <cellStyle name="Normal 8 2 3 5 2 3 3" xfId="23568"/>
    <cellStyle name="Normal 8 2 3 5 2 4" xfId="23569"/>
    <cellStyle name="Normal 8 2 3 5 2 4 2" xfId="23570"/>
    <cellStyle name="Normal 8 2 3 5 2 4 3" xfId="23571"/>
    <cellStyle name="Normal 8 2 3 5 2 5" xfId="23572"/>
    <cellStyle name="Normal 8 2 3 5 2 5 2" xfId="23573"/>
    <cellStyle name="Normal 8 2 3 5 2 6" xfId="23574"/>
    <cellStyle name="Normal 8 2 3 5 2 6 2" xfId="36967"/>
    <cellStyle name="Normal 8 2 3 5 2 7" xfId="23575"/>
    <cellStyle name="Normal 8 2 3 5 3" xfId="23576"/>
    <cellStyle name="Normal 8 2 3 5 3 2" xfId="23577"/>
    <cellStyle name="Normal 8 2 3 5 3 2 2" xfId="23578"/>
    <cellStyle name="Normal 8 2 3 5 3 2 2 2" xfId="23579"/>
    <cellStyle name="Normal 8 2 3 5 3 2 3" xfId="23580"/>
    <cellStyle name="Normal 8 2 3 5 3 3" xfId="23581"/>
    <cellStyle name="Normal 8 2 3 5 3 3 2" xfId="23582"/>
    <cellStyle name="Normal 8 2 3 5 3 4" xfId="23583"/>
    <cellStyle name="Normal 8 2 3 5 4" xfId="23584"/>
    <cellStyle name="Normal 8 2 3 5 4 2" xfId="23585"/>
    <cellStyle name="Normal 8 2 3 5 4 2 2" xfId="23586"/>
    <cellStyle name="Normal 8 2 3 5 4 3" xfId="23587"/>
    <cellStyle name="Normal 8 2 3 5 5" xfId="23588"/>
    <cellStyle name="Normal 8 2 3 5 5 2" xfId="23589"/>
    <cellStyle name="Normal 8 2 3 5 5 2 2" xfId="23590"/>
    <cellStyle name="Normal 8 2 3 5 5 3" xfId="23591"/>
    <cellStyle name="Normal 8 2 3 5 6" xfId="23592"/>
    <cellStyle name="Normal 8 2 3 5 6 2" xfId="23593"/>
    <cellStyle name="Normal 8 2 3 5 7" xfId="23594"/>
    <cellStyle name="Normal 8 2 3 5 7 2" xfId="36968"/>
    <cellStyle name="Normal 8 2 3 5 8" xfId="23595"/>
    <cellStyle name="Normal 8 2 3 6" xfId="23596"/>
    <cellStyle name="Normal 8 2 3 6 2" xfId="23597"/>
    <cellStyle name="Normal 8 2 3 6 2 2" xfId="23598"/>
    <cellStyle name="Normal 8 2 3 6 2 2 2" xfId="23599"/>
    <cellStyle name="Normal 8 2 3 6 2 2 2 2" xfId="23600"/>
    <cellStyle name="Normal 8 2 3 6 2 2 2 3" xfId="23601"/>
    <cellStyle name="Normal 8 2 3 6 2 2 3" xfId="23602"/>
    <cellStyle name="Normal 8 2 3 6 2 2 3 2" xfId="23603"/>
    <cellStyle name="Normal 8 2 3 6 2 2 4" xfId="23604"/>
    <cellStyle name="Normal 8 2 3 6 2 3" xfId="23605"/>
    <cellStyle name="Normal 8 2 3 6 2 3 2" xfId="23606"/>
    <cellStyle name="Normal 8 2 3 6 2 3 2 2" xfId="23607"/>
    <cellStyle name="Normal 8 2 3 6 2 3 3" xfId="23608"/>
    <cellStyle name="Normal 8 2 3 6 2 4" xfId="23609"/>
    <cellStyle name="Normal 8 2 3 6 2 4 2" xfId="23610"/>
    <cellStyle name="Normal 8 2 3 6 2 4 3" xfId="23611"/>
    <cellStyle name="Normal 8 2 3 6 2 5" xfId="23612"/>
    <cellStyle name="Normal 8 2 3 6 2 5 2" xfId="23613"/>
    <cellStyle name="Normal 8 2 3 6 2 6" xfId="23614"/>
    <cellStyle name="Normal 8 2 3 6 2 6 2" xfId="36969"/>
    <cellStyle name="Normal 8 2 3 6 2 7" xfId="23615"/>
    <cellStyle name="Normal 8 2 3 6 3" xfId="23616"/>
    <cellStyle name="Normal 8 2 3 6 3 2" xfId="23617"/>
    <cellStyle name="Normal 8 2 3 6 3 2 2" xfId="23618"/>
    <cellStyle name="Normal 8 2 3 6 3 2 2 2" xfId="23619"/>
    <cellStyle name="Normal 8 2 3 6 3 2 3" xfId="23620"/>
    <cellStyle name="Normal 8 2 3 6 3 3" xfId="23621"/>
    <cellStyle name="Normal 8 2 3 6 3 3 2" xfId="23622"/>
    <cellStyle name="Normal 8 2 3 6 3 4" xfId="23623"/>
    <cellStyle name="Normal 8 2 3 6 4" xfId="23624"/>
    <cellStyle name="Normal 8 2 3 6 4 2" xfId="23625"/>
    <cellStyle name="Normal 8 2 3 6 4 2 2" xfId="23626"/>
    <cellStyle name="Normal 8 2 3 6 4 3" xfId="23627"/>
    <cellStyle name="Normal 8 2 3 6 5" xfId="23628"/>
    <cellStyle name="Normal 8 2 3 6 5 2" xfId="23629"/>
    <cellStyle name="Normal 8 2 3 6 5 2 2" xfId="23630"/>
    <cellStyle name="Normal 8 2 3 6 5 3" xfId="23631"/>
    <cellStyle name="Normal 8 2 3 6 6" xfId="23632"/>
    <cellStyle name="Normal 8 2 3 6 6 2" xfId="23633"/>
    <cellStyle name="Normal 8 2 3 6 7" xfId="23634"/>
    <cellStyle name="Normal 8 2 3 6 7 2" xfId="36970"/>
    <cellStyle name="Normal 8 2 3 6 8" xfId="23635"/>
    <cellStyle name="Normal 8 2 3 7" xfId="23636"/>
    <cellStyle name="Normal 8 2 3 7 2" xfId="23637"/>
    <cellStyle name="Normal 8 2 3 7 2 2" xfId="23638"/>
    <cellStyle name="Normal 8 2 3 7 2 2 2" xfId="23639"/>
    <cellStyle name="Normal 8 2 3 7 2 2 2 2" xfId="23640"/>
    <cellStyle name="Normal 8 2 3 7 2 2 2 3" xfId="23641"/>
    <cellStyle name="Normal 8 2 3 7 2 2 3" xfId="23642"/>
    <cellStyle name="Normal 8 2 3 7 2 2 3 2" xfId="23643"/>
    <cellStyle name="Normal 8 2 3 7 2 2 4" xfId="23644"/>
    <cellStyle name="Normal 8 2 3 7 2 3" xfId="23645"/>
    <cellStyle name="Normal 8 2 3 7 2 3 2" xfId="23646"/>
    <cellStyle name="Normal 8 2 3 7 2 3 2 2" xfId="23647"/>
    <cellStyle name="Normal 8 2 3 7 2 3 3" xfId="23648"/>
    <cellStyle name="Normal 8 2 3 7 2 4" xfId="23649"/>
    <cellStyle name="Normal 8 2 3 7 2 4 2" xfId="23650"/>
    <cellStyle name="Normal 8 2 3 7 2 4 3" xfId="23651"/>
    <cellStyle name="Normal 8 2 3 7 2 5" xfId="23652"/>
    <cellStyle name="Normal 8 2 3 7 2 5 2" xfId="23653"/>
    <cellStyle name="Normal 8 2 3 7 2 6" xfId="23654"/>
    <cellStyle name="Normal 8 2 3 7 2 6 2" xfId="36971"/>
    <cellStyle name="Normal 8 2 3 7 2 7" xfId="23655"/>
    <cellStyle name="Normal 8 2 3 7 3" xfId="23656"/>
    <cellStyle name="Normal 8 2 3 7 3 2" xfId="23657"/>
    <cellStyle name="Normal 8 2 3 7 3 2 2" xfId="23658"/>
    <cellStyle name="Normal 8 2 3 7 3 2 2 2" xfId="23659"/>
    <cellStyle name="Normal 8 2 3 7 3 2 3" xfId="23660"/>
    <cellStyle name="Normal 8 2 3 7 3 3" xfId="23661"/>
    <cellStyle name="Normal 8 2 3 7 3 3 2" xfId="23662"/>
    <cellStyle name="Normal 8 2 3 7 3 4" xfId="23663"/>
    <cellStyle name="Normal 8 2 3 7 4" xfId="23664"/>
    <cellStyle name="Normal 8 2 3 7 4 2" xfId="23665"/>
    <cellStyle name="Normal 8 2 3 7 4 2 2" xfId="23666"/>
    <cellStyle name="Normal 8 2 3 7 4 3" xfId="23667"/>
    <cellStyle name="Normal 8 2 3 7 5" xfId="23668"/>
    <cellStyle name="Normal 8 2 3 7 5 2" xfId="23669"/>
    <cellStyle name="Normal 8 2 3 7 5 2 2" xfId="23670"/>
    <cellStyle name="Normal 8 2 3 7 5 3" xfId="23671"/>
    <cellStyle name="Normal 8 2 3 7 6" xfId="23672"/>
    <cellStyle name="Normal 8 2 3 7 6 2" xfId="23673"/>
    <cellStyle name="Normal 8 2 3 7 7" xfId="23674"/>
    <cellStyle name="Normal 8 2 3 7 7 2" xfId="36972"/>
    <cellStyle name="Normal 8 2 3 7 8" xfId="23675"/>
    <cellStyle name="Normal 8 2 3 8" xfId="23676"/>
    <cellStyle name="Normal 8 2 3 8 2" xfId="23677"/>
    <cellStyle name="Normal 8 2 3 8 2 2" xfId="23678"/>
    <cellStyle name="Normal 8 2 3 8 2 2 2" xfId="23679"/>
    <cellStyle name="Normal 8 2 3 8 2 2 3" xfId="23680"/>
    <cellStyle name="Normal 8 2 3 8 2 3" xfId="23681"/>
    <cellStyle name="Normal 8 2 3 8 2 3 2" xfId="23682"/>
    <cellStyle name="Normal 8 2 3 8 2 4" xfId="23683"/>
    <cellStyle name="Normal 8 2 3 8 3" xfId="23684"/>
    <cellStyle name="Normal 8 2 3 8 3 2" xfId="23685"/>
    <cellStyle name="Normal 8 2 3 8 3 2 2" xfId="23686"/>
    <cellStyle name="Normal 8 2 3 8 3 3" xfId="23687"/>
    <cellStyle name="Normal 8 2 3 8 4" xfId="23688"/>
    <cellStyle name="Normal 8 2 3 8 4 2" xfId="23689"/>
    <cellStyle name="Normal 8 2 3 8 4 3" xfId="23690"/>
    <cellStyle name="Normal 8 2 3 8 5" xfId="23691"/>
    <cellStyle name="Normal 8 2 3 8 5 2" xfId="23692"/>
    <cellStyle name="Normal 8 2 3 8 6" xfId="23693"/>
    <cellStyle name="Normal 8 2 3 8 6 2" xfId="36973"/>
    <cellStyle name="Normal 8 2 3 8 7" xfId="23694"/>
    <cellStyle name="Normal 8 2 3 9" xfId="23695"/>
    <cellStyle name="Normal 8 2 3 9 2" xfId="23696"/>
    <cellStyle name="Normal 8 2 3 9 2 2" xfId="23697"/>
    <cellStyle name="Normal 8 2 3 9 2 2 2" xfId="23698"/>
    <cellStyle name="Normal 8 2 3 9 2 3" xfId="23699"/>
    <cellStyle name="Normal 8 2 3 9 3" xfId="23700"/>
    <cellStyle name="Normal 8 2 3 9 3 2" xfId="23701"/>
    <cellStyle name="Normal 8 2 3 9 4" xfId="23702"/>
    <cellStyle name="Normal 8 2 4" xfId="23703"/>
    <cellStyle name="Normal 8 2 4 10" xfId="23704"/>
    <cellStyle name="Normal 8 2 4 10 2" xfId="23705"/>
    <cellStyle name="Normal 8 2 4 11" xfId="23706"/>
    <cellStyle name="Normal 8 2 4 11 2" xfId="36974"/>
    <cellStyle name="Normal 8 2 4 12" xfId="23707"/>
    <cellStyle name="Normal 8 2 4 2" xfId="23708"/>
    <cellStyle name="Normal 8 2 4 2 10" xfId="23709"/>
    <cellStyle name="Normal 8 2 4 2 2" xfId="23710"/>
    <cellStyle name="Normal 8 2 4 2 2 2" xfId="23711"/>
    <cellStyle name="Normal 8 2 4 2 2 2 2" xfId="23712"/>
    <cellStyle name="Normal 8 2 4 2 2 2 2 2" xfId="23713"/>
    <cellStyle name="Normal 8 2 4 2 2 2 2 2 2" xfId="23714"/>
    <cellStyle name="Normal 8 2 4 2 2 2 2 2 2 2" xfId="23715"/>
    <cellStyle name="Normal 8 2 4 2 2 2 2 2 2 3" xfId="23716"/>
    <cellStyle name="Normal 8 2 4 2 2 2 2 2 3" xfId="23717"/>
    <cellStyle name="Normal 8 2 4 2 2 2 2 2 3 2" xfId="23718"/>
    <cellStyle name="Normal 8 2 4 2 2 2 2 2 4" xfId="23719"/>
    <cellStyle name="Normal 8 2 4 2 2 2 2 3" xfId="23720"/>
    <cellStyle name="Normal 8 2 4 2 2 2 2 3 2" xfId="23721"/>
    <cellStyle name="Normal 8 2 4 2 2 2 2 3 2 2" xfId="23722"/>
    <cellStyle name="Normal 8 2 4 2 2 2 2 3 3" xfId="23723"/>
    <cellStyle name="Normal 8 2 4 2 2 2 2 4" xfId="23724"/>
    <cellStyle name="Normal 8 2 4 2 2 2 2 4 2" xfId="23725"/>
    <cellStyle name="Normal 8 2 4 2 2 2 2 4 3" xfId="23726"/>
    <cellStyle name="Normal 8 2 4 2 2 2 2 5" xfId="23727"/>
    <cellStyle name="Normal 8 2 4 2 2 2 2 5 2" xfId="23728"/>
    <cellStyle name="Normal 8 2 4 2 2 2 2 6" xfId="23729"/>
    <cellStyle name="Normal 8 2 4 2 2 2 2 6 2" xfId="36975"/>
    <cellStyle name="Normal 8 2 4 2 2 2 2 7" xfId="23730"/>
    <cellStyle name="Normal 8 2 4 2 2 2 3" xfId="23731"/>
    <cellStyle name="Normal 8 2 4 2 2 2 3 2" xfId="23732"/>
    <cellStyle name="Normal 8 2 4 2 2 2 3 2 2" xfId="23733"/>
    <cellStyle name="Normal 8 2 4 2 2 2 3 2 2 2" xfId="23734"/>
    <cellStyle name="Normal 8 2 4 2 2 2 3 2 3" xfId="23735"/>
    <cellStyle name="Normal 8 2 4 2 2 2 3 3" xfId="23736"/>
    <cellStyle name="Normal 8 2 4 2 2 2 3 3 2" xfId="23737"/>
    <cellStyle name="Normal 8 2 4 2 2 2 3 4" xfId="23738"/>
    <cellStyle name="Normal 8 2 4 2 2 2 4" xfId="23739"/>
    <cellStyle name="Normal 8 2 4 2 2 2 4 2" xfId="23740"/>
    <cellStyle name="Normal 8 2 4 2 2 2 4 2 2" xfId="23741"/>
    <cellStyle name="Normal 8 2 4 2 2 2 4 3" xfId="23742"/>
    <cellStyle name="Normal 8 2 4 2 2 2 5" xfId="23743"/>
    <cellStyle name="Normal 8 2 4 2 2 2 5 2" xfId="23744"/>
    <cellStyle name="Normal 8 2 4 2 2 2 5 2 2" xfId="23745"/>
    <cellStyle name="Normal 8 2 4 2 2 2 5 3" xfId="23746"/>
    <cellStyle name="Normal 8 2 4 2 2 2 6" xfId="23747"/>
    <cellStyle name="Normal 8 2 4 2 2 2 6 2" xfId="23748"/>
    <cellStyle name="Normal 8 2 4 2 2 2 7" xfId="23749"/>
    <cellStyle name="Normal 8 2 4 2 2 2 7 2" xfId="36976"/>
    <cellStyle name="Normal 8 2 4 2 2 2 8" xfId="23750"/>
    <cellStyle name="Normal 8 2 4 2 2 3" xfId="23751"/>
    <cellStyle name="Normal 8 2 4 2 2 3 2" xfId="23752"/>
    <cellStyle name="Normal 8 2 4 2 2 3 2 2" xfId="23753"/>
    <cellStyle name="Normal 8 2 4 2 2 3 2 2 2" xfId="23754"/>
    <cellStyle name="Normal 8 2 4 2 2 3 2 2 3" xfId="23755"/>
    <cellStyle name="Normal 8 2 4 2 2 3 2 3" xfId="23756"/>
    <cellStyle name="Normal 8 2 4 2 2 3 2 3 2" xfId="23757"/>
    <cellStyle name="Normal 8 2 4 2 2 3 2 4" xfId="23758"/>
    <cellStyle name="Normal 8 2 4 2 2 3 3" xfId="23759"/>
    <cellStyle name="Normal 8 2 4 2 2 3 3 2" xfId="23760"/>
    <cellStyle name="Normal 8 2 4 2 2 3 3 2 2" xfId="23761"/>
    <cellStyle name="Normal 8 2 4 2 2 3 3 3" xfId="23762"/>
    <cellStyle name="Normal 8 2 4 2 2 3 4" xfId="23763"/>
    <cellStyle name="Normal 8 2 4 2 2 3 4 2" xfId="23764"/>
    <cellStyle name="Normal 8 2 4 2 2 3 4 3" xfId="23765"/>
    <cellStyle name="Normal 8 2 4 2 2 3 5" xfId="23766"/>
    <cellStyle name="Normal 8 2 4 2 2 3 5 2" xfId="23767"/>
    <cellStyle name="Normal 8 2 4 2 2 3 6" xfId="23768"/>
    <cellStyle name="Normal 8 2 4 2 2 3 6 2" xfId="36977"/>
    <cellStyle name="Normal 8 2 4 2 2 3 7" xfId="23769"/>
    <cellStyle name="Normal 8 2 4 2 2 4" xfId="23770"/>
    <cellStyle name="Normal 8 2 4 2 2 4 2" xfId="23771"/>
    <cellStyle name="Normal 8 2 4 2 2 4 2 2" xfId="23772"/>
    <cellStyle name="Normal 8 2 4 2 2 4 2 2 2" xfId="23773"/>
    <cellStyle name="Normal 8 2 4 2 2 4 2 3" xfId="23774"/>
    <cellStyle name="Normal 8 2 4 2 2 4 3" xfId="23775"/>
    <cellStyle name="Normal 8 2 4 2 2 4 3 2" xfId="23776"/>
    <cellStyle name="Normal 8 2 4 2 2 4 4" xfId="23777"/>
    <cellStyle name="Normal 8 2 4 2 2 5" xfId="23778"/>
    <cellStyle name="Normal 8 2 4 2 2 5 2" xfId="23779"/>
    <cellStyle name="Normal 8 2 4 2 2 5 2 2" xfId="23780"/>
    <cellStyle name="Normal 8 2 4 2 2 5 3" xfId="23781"/>
    <cellStyle name="Normal 8 2 4 2 2 6" xfId="23782"/>
    <cellStyle name="Normal 8 2 4 2 2 6 2" xfId="23783"/>
    <cellStyle name="Normal 8 2 4 2 2 6 2 2" xfId="23784"/>
    <cellStyle name="Normal 8 2 4 2 2 6 3" xfId="23785"/>
    <cellStyle name="Normal 8 2 4 2 2 7" xfId="23786"/>
    <cellStyle name="Normal 8 2 4 2 2 7 2" xfId="23787"/>
    <cellStyle name="Normal 8 2 4 2 2 8" xfId="23788"/>
    <cellStyle name="Normal 8 2 4 2 2 8 2" xfId="36978"/>
    <cellStyle name="Normal 8 2 4 2 2 9" xfId="23789"/>
    <cellStyle name="Normal 8 2 4 2 3" xfId="23790"/>
    <cellStyle name="Normal 8 2 4 2 3 2" xfId="23791"/>
    <cellStyle name="Normal 8 2 4 2 3 2 2" xfId="23792"/>
    <cellStyle name="Normal 8 2 4 2 3 2 2 2" xfId="23793"/>
    <cellStyle name="Normal 8 2 4 2 3 2 2 2 2" xfId="23794"/>
    <cellStyle name="Normal 8 2 4 2 3 2 2 2 3" xfId="23795"/>
    <cellStyle name="Normal 8 2 4 2 3 2 2 3" xfId="23796"/>
    <cellStyle name="Normal 8 2 4 2 3 2 2 3 2" xfId="23797"/>
    <cellStyle name="Normal 8 2 4 2 3 2 2 4" xfId="23798"/>
    <cellStyle name="Normal 8 2 4 2 3 2 3" xfId="23799"/>
    <cellStyle name="Normal 8 2 4 2 3 2 3 2" xfId="23800"/>
    <cellStyle name="Normal 8 2 4 2 3 2 3 2 2" xfId="23801"/>
    <cellStyle name="Normal 8 2 4 2 3 2 3 3" xfId="23802"/>
    <cellStyle name="Normal 8 2 4 2 3 2 4" xfId="23803"/>
    <cellStyle name="Normal 8 2 4 2 3 2 4 2" xfId="23804"/>
    <cellStyle name="Normal 8 2 4 2 3 2 4 3" xfId="23805"/>
    <cellStyle name="Normal 8 2 4 2 3 2 5" xfId="23806"/>
    <cellStyle name="Normal 8 2 4 2 3 2 5 2" xfId="23807"/>
    <cellStyle name="Normal 8 2 4 2 3 2 6" xfId="23808"/>
    <cellStyle name="Normal 8 2 4 2 3 2 6 2" xfId="36979"/>
    <cellStyle name="Normal 8 2 4 2 3 2 7" xfId="23809"/>
    <cellStyle name="Normal 8 2 4 2 3 3" xfId="23810"/>
    <cellStyle name="Normal 8 2 4 2 3 3 2" xfId="23811"/>
    <cellStyle name="Normal 8 2 4 2 3 3 2 2" xfId="23812"/>
    <cellStyle name="Normal 8 2 4 2 3 3 2 2 2" xfId="23813"/>
    <cellStyle name="Normal 8 2 4 2 3 3 2 3" xfId="23814"/>
    <cellStyle name="Normal 8 2 4 2 3 3 3" xfId="23815"/>
    <cellStyle name="Normal 8 2 4 2 3 3 3 2" xfId="23816"/>
    <cellStyle name="Normal 8 2 4 2 3 3 4" xfId="23817"/>
    <cellStyle name="Normal 8 2 4 2 3 4" xfId="23818"/>
    <cellStyle name="Normal 8 2 4 2 3 4 2" xfId="23819"/>
    <cellStyle name="Normal 8 2 4 2 3 4 2 2" xfId="23820"/>
    <cellStyle name="Normal 8 2 4 2 3 4 3" xfId="23821"/>
    <cellStyle name="Normal 8 2 4 2 3 5" xfId="23822"/>
    <cellStyle name="Normal 8 2 4 2 3 5 2" xfId="23823"/>
    <cellStyle name="Normal 8 2 4 2 3 5 2 2" xfId="23824"/>
    <cellStyle name="Normal 8 2 4 2 3 5 3" xfId="23825"/>
    <cellStyle name="Normal 8 2 4 2 3 6" xfId="23826"/>
    <cellStyle name="Normal 8 2 4 2 3 6 2" xfId="23827"/>
    <cellStyle name="Normal 8 2 4 2 3 7" xfId="23828"/>
    <cellStyle name="Normal 8 2 4 2 3 7 2" xfId="36980"/>
    <cellStyle name="Normal 8 2 4 2 3 8" xfId="23829"/>
    <cellStyle name="Normal 8 2 4 2 4" xfId="23830"/>
    <cellStyle name="Normal 8 2 4 2 4 2" xfId="23831"/>
    <cellStyle name="Normal 8 2 4 2 4 2 2" xfId="23832"/>
    <cellStyle name="Normal 8 2 4 2 4 2 2 2" xfId="23833"/>
    <cellStyle name="Normal 8 2 4 2 4 2 2 3" xfId="23834"/>
    <cellStyle name="Normal 8 2 4 2 4 2 3" xfId="23835"/>
    <cellStyle name="Normal 8 2 4 2 4 2 3 2" xfId="23836"/>
    <cellStyle name="Normal 8 2 4 2 4 2 4" xfId="23837"/>
    <cellStyle name="Normal 8 2 4 2 4 3" xfId="23838"/>
    <cellStyle name="Normal 8 2 4 2 4 3 2" xfId="23839"/>
    <cellStyle name="Normal 8 2 4 2 4 3 2 2" xfId="23840"/>
    <cellStyle name="Normal 8 2 4 2 4 3 3" xfId="23841"/>
    <cellStyle name="Normal 8 2 4 2 4 4" xfId="23842"/>
    <cellStyle name="Normal 8 2 4 2 4 4 2" xfId="23843"/>
    <cellStyle name="Normal 8 2 4 2 4 4 3" xfId="23844"/>
    <cellStyle name="Normal 8 2 4 2 4 5" xfId="23845"/>
    <cellStyle name="Normal 8 2 4 2 4 5 2" xfId="23846"/>
    <cellStyle name="Normal 8 2 4 2 4 6" xfId="23847"/>
    <cellStyle name="Normal 8 2 4 2 4 6 2" xfId="36981"/>
    <cellStyle name="Normal 8 2 4 2 4 7" xfId="23848"/>
    <cellStyle name="Normal 8 2 4 2 5" xfId="23849"/>
    <cellStyle name="Normal 8 2 4 2 5 2" xfId="23850"/>
    <cellStyle name="Normal 8 2 4 2 5 2 2" xfId="23851"/>
    <cellStyle name="Normal 8 2 4 2 5 2 2 2" xfId="23852"/>
    <cellStyle name="Normal 8 2 4 2 5 2 3" xfId="23853"/>
    <cellStyle name="Normal 8 2 4 2 5 3" xfId="23854"/>
    <cellStyle name="Normal 8 2 4 2 5 3 2" xfId="23855"/>
    <cellStyle name="Normal 8 2 4 2 5 4" xfId="23856"/>
    <cellStyle name="Normal 8 2 4 2 6" xfId="23857"/>
    <cellStyle name="Normal 8 2 4 2 6 2" xfId="23858"/>
    <cellStyle name="Normal 8 2 4 2 6 2 2" xfId="23859"/>
    <cellStyle name="Normal 8 2 4 2 6 3" xfId="23860"/>
    <cellStyle name="Normal 8 2 4 2 7" xfId="23861"/>
    <cellStyle name="Normal 8 2 4 2 7 2" xfId="23862"/>
    <cellStyle name="Normal 8 2 4 2 7 2 2" xfId="23863"/>
    <cellStyle name="Normal 8 2 4 2 7 3" xfId="23864"/>
    <cellStyle name="Normal 8 2 4 2 8" xfId="23865"/>
    <cellStyle name="Normal 8 2 4 2 8 2" xfId="23866"/>
    <cellStyle name="Normal 8 2 4 2 9" xfId="23867"/>
    <cellStyle name="Normal 8 2 4 2 9 2" xfId="36982"/>
    <cellStyle name="Normal 8 2 4 3" xfId="23868"/>
    <cellStyle name="Normal 8 2 4 3 2" xfId="23869"/>
    <cellStyle name="Normal 8 2 4 3 2 2" xfId="23870"/>
    <cellStyle name="Normal 8 2 4 3 2 2 2" xfId="23871"/>
    <cellStyle name="Normal 8 2 4 3 2 2 2 2" xfId="23872"/>
    <cellStyle name="Normal 8 2 4 3 2 2 2 2 2" xfId="23873"/>
    <cellStyle name="Normal 8 2 4 3 2 2 2 2 3" xfId="23874"/>
    <cellStyle name="Normal 8 2 4 3 2 2 2 3" xfId="23875"/>
    <cellStyle name="Normal 8 2 4 3 2 2 2 3 2" xfId="23876"/>
    <cellStyle name="Normal 8 2 4 3 2 2 2 4" xfId="23877"/>
    <cellStyle name="Normal 8 2 4 3 2 2 3" xfId="23878"/>
    <cellStyle name="Normal 8 2 4 3 2 2 3 2" xfId="23879"/>
    <cellStyle name="Normal 8 2 4 3 2 2 3 2 2" xfId="23880"/>
    <cellStyle name="Normal 8 2 4 3 2 2 3 3" xfId="23881"/>
    <cellStyle name="Normal 8 2 4 3 2 2 4" xfId="23882"/>
    <cellStyle name="Normal 8 2 4 3 2 2 4 2" xfId="23883"/>
    <cellStyle name="Normal 8 2 4 3 2 2 4 3" xfId="23884"/>
    <cellStyle name="Normal 8 2 4 3 2 2 5" xfId="23885"/>
    <cellStyle name="Normal 8 2 4 3 2 2 5 2" xfId="23886"/>
    <cellStyle name="Normal 8 2 4 3 2 2 6" xfId="23887"/>
    <cellStyle name="Normal 8 2 4 3 2 2 6 2" xfId="36983"/>
    <cellStyle name="Normal 8 2 4 3 2 2 7" xfId="23888"/>
    <cellStyle name="Normal 8 2 4 3 2 3" xfId="23889"/>
    <cellStyle name="Normal 8 2 4 3 2 3 2" xfId="23890"/>
    <cellStyle name="Normal 8 2 4 3 2 3 2 2" xfId="23891"/>
    <cellStyle name="Normal 8 2 4 3 2 3 2 2 2" xfId="23892"/>
    <cellStyle name="Normal 8 2 4 3 2 3 2 3" xfId="23893"/>
    <cellStyle name="Normal 8 2 4 3 2 3 3" xfId="23894"/>
    <cellStyle name="Normal 8 2 4 3 2 3 3 2" xfId="23895"/>
    <cellStyle name="Normal 8 2 4 3 2 3 4" xfId="23896"/>
    <cellStyle name="Normal 8 2 4 3 2 4" xfId="23897"/>
    <cellStyle name="Normal 8 2 4 3 2 4 2" xfId="23898"/>
    <cellStyle name="Normal 8 2 4 3 2 4 2 2" xfId="23899"/>
    <cellStyle name="Normal 8 2 4 3 2 4 3" xfId="23900"/>
    <cellStyle name="Normal 8 2 4 3 2 5" xfId="23901"/>
    <cellStyle name="Normal 8 2 4 3 2 5 2" xfId="23902"/>
    <cellStyle name="Normal 8 2 4 3 2 5 2 2" xfId="23903"/>
    <cellStyle name="Normal 8 2 4 3 2 5 3" xfId="23904"/>
    <cellStyle name="Normal 8 2 4 3 2 6" xfId="23905"/>
    <cellStyle name="Normal 8 2 4 3 2 6 2" xfId="23906"/>
    <cellStyle name="Normal 8 2 4 3 2 7" xfId="23907"/>
    <cellStyle name="Normal 8 2 4 3 2 7 2" xfId="36984"/>
    <cellStyle name="Normal 8 2 4 3 2 8" xfId="23908"/>
    <cellStyle name="Normal 8 2 4 3 3" xfId="23909"/>
    <cellStyle name="Normal 8 2 4 3 3 2" xfId="23910"/>
    <cellStyle name="Normal 8 2 4 3 3 2 2" xfId="23911"/>
    <cellStyle name="Normal 8 2 4 3 3 2 2 2" xfId="23912"/>
    <cellStyle name="Normal 8 2 4 3 3 2 2 3" xfId="23913"/>
    <cellStyle name="Normal 8 2 4 3 3 2 3" xfId="23914"/>
    <cellStyle name="Normal 8 2 4 3 3 2 3 2" xfId="23915"/>
    <cellStyle name="Normal 8 2 4 3 3 2 4" xfId="23916"/>
    <cellStyle name="Normal 8 2 4 3 3 3" xfId="23917"/>
    <cellStyle name="Normal 8 2 4 3 3 3 2" xfId="23918"/>
    <cellStyle name="Normal 8 2 4 3 3 3 2 2" xfId="23919"/>
    <cellStyle name="Normal 8 2 4 3 3 3 3" xfId="23920"/>
    <cellStyle name="Normal 8 2 4 3 3 4" xfId="23921"/>
    <cellStyle name="Normal 8 2 4 3 3 4 2" xfId="23922"/>
    <cellStyle name="Normal 8 2 4 3 3 4 3" xfId="23923"/>
    <cellStyle name="Normal 8 2 4 3 3 5" xfId="23924"/>
    <cellStyle name="Normal 8 2 4 3 3 5 2" xfId="23925"/>
    <cellStyle name="Normal 8 2 4 3 3 6" xfId="23926"/>
    <cellStyle name="Normal 8 2 4 3 3 6 2" xfId="36985"/>
    <cellStyle name="Normal 8 2 4 3 3 7" xfId="23927"/>
    <cellStyle name="Normal 8 2 4 3 4" xfId="23928"/>
    <cellStyle name="Normal 8 2 4 3 4 2" xfId="23929"/>
    <cellStyle name="Normal 8 2 4 3 4 2 2" xfId="23930"/>
    <cellStyle name="Normal 8 2 4 3 4 2 2 2" xfId="23931"/>
    <cellStyle name="Normal 8 2 4 3 4 2 3" xfId="23932"/>
    <cellStyle name="Normal 8 2 4 3 4 3" xfId="23933"/>
    <cellStyle name="Normal 8 2 4 3 4 3 2" xfId="23934"/>
    <cellStyle name="Normal 8 2 4 3 4 4" xfId="23935"/>
    <cellStyle name="Normal 8 2 4 3 5" xfId="23936"/>
    <cellStyle name="Normal 8 2 4 3 5 2" xfId="23937"/>
    <cellStyle name="Normal 8 2 4 3 5 2 2" xfId="23938"/>
    <cellStyle name="Normal 8 2 4 3 5 3" xfId="23939"/>
    <cellStyle name="Normal 8 2 4 3 6" xfId="23940"/>
    <cellStyle name="Normal 8 2 4 3 6 2" xfId="23941"/>
    <cellStyle name="Normal 8 2 4 3 6 2 2" xfId="23942"/>
    <cellStyle name="Normal 8 2 4 3 6 3" xfId="23943"/>
    <cellStyle name="Normal 8 2 4 3 7" xfId="23944"/>
    <cellStyle name="Normal 8 2 4 3 7 2" xfId="23945"/>
    <cellStyle name="Normal 8 2 4 3 8" xfId="23946"/>
    <cellStyle name="Normal 8 2 4 3 8 2" xfId="36986"/>
    <cellStyle name="Normal 8 2 4 3 9" xfId="23947"/>
    <cellStyle name="Normal 8 2 4 4" xfId="23948"/>
    <cellStyle name="Normal 8 2 4 4 2" xfId="23949"/>
    <cellStyle name="Normal 8 2 4 4 2 2" xfId="23950"/>
    <cellStyle name="Normal 8 2 4 4 2 2 2" xfId="23951"/>
    <cellStyle name="Normal 8 2 4 4 2 2 2 2" xfId="23952"/>
    <cellStyle name="Normal 8 2 4 4 2 2 2 3" xfId="23953"/>
    <cellStyle name="Normal 8 2 4 4 2 2 3" xfId="23954"/>
    <cellStyle name="Normal 8 2 4 4 2 2 3 2" xfId="23955"/>
    <cellStyle name="Normal 8 2 4 4 2 2 4" xfId="23956"/>
    <cellStyle name="Normal 8 2 4 4 2 3" xfId="23957"/>
    <cellStyle name="Normal 8 2 4 4 2 3 2" xfId="23958"/>
    <cellStyle name="Normal 8 2 4 4 2 3 2 2" xfId="23959"/>
    <cellStyle name="Normal 8 2 4 4 2 3 3" xfId="23960"/>
    <cellStyle name="Normal 8 2 4 4 2 4" xfId="23961"/>
    <cellStyle name="Normal 8 2 4 4 2 4 2" xfId="23962"/>
    <cellStyle name="Normal 8 2 4 4 2 4 3" xfId="23963"/>
    <cellStyle name="Normal 8 2 4 4 2 5" xfId="23964"/>
    <cellStyle name="Normal 8 2 4 4 2 5 2" xfId="23965"/>
    <cellStyle name="Normal 8 2 4 4 2 6" xfId="23966"/>
    <cellStyle name="Normal 8 2 4 4 2 6 2" xfId="36987"/>
    <cellStyle name="Normal 8 2 4 4 2 7" xfId="23967"/>
    <cellStyle name="Normal 8 2 4 4 3" xfId="23968"/>
    <cellStyle name="Normal 8 2 4 4 3 2" xfId="23969"/>
    <cellStyle name="Normal 8 2 4 4 3 2 2" xfId="23970"/>
    <cellStyle name="Normal 8 2 4 4 3 2 2 2" xfId="23971"/>
    <cellStyle name="Normal 8 2 4 4 3 2 3" xfId="23972"/>
    <cellStyle name="Normal 8 2 4 4 3 3" xfId="23973"/>
    <cellStyle name="Normal 8 2 4 4 3 3 2" xfId="23974"/>
    <cellStyle name="Normal 8 2 4 4 3 4" xfId="23975"/>
    <cellStyle name="Normal 8 2 4 4 4" xfId="23976"/>
    <cellStyle name="Normal 8 2 4 4 4 2" xfId="23977"/>
    <cellStyle name="Normal 8 2 4 4 4 2 2" xfId="23978"/>
    <cellStyle name="Normal 8 2 4 4 4 3" xfId="23979"/>
    <cellStyle name="Normal 8 2 4 4 5" xfId="23980"/>
    <cellStyle name="Normal 8 2 4 4 5 2" xfId="23981"/>
    <cellStyle name="Normal 8 2 4 4 5 2 2" xfId="23982"/>
    <cellStyle name="Normal 8 2 4 4 5 3" xfId="23983"/>
    <cellStyle name="Normal 8 2 4 4 6" xfId="23984"/>
    <cellStyle name="Normal 8 2 4 4 6 2" xfId="23985"/>
    <cellStyle name="Normal 8 2 4 4 7" xfId="23986"/>
    <cellStyle name="Normal 8 2 4 4 7 2" xfId="36988"/>
    <cellStyle name="Normal 8 2 4 4 8" xfId="23987"/>
    <cellStyle name="Normal 8 2 4 5" xfId="23988"/>
    <cellStyle name="Normal 8 2 4 5 2" xfId="23989"/>
    <cellStyle name="Normal 8 2 4 5 2 2" xfId="23990"/>
    <cellStyle name="Normal 8 2 4 5 2 2 2" xfId="23991"/>
    <cellStyle name="Normal 8 2 4 5 2 2 2 2" xfId="23992"/>
    <cellStyle name="Normal 8 2 4 5 2 2 2 3" xfId="23993"/>
    <cellStyle name="Normal 8 2 4 5 2 2 3" xfId="23994"/>
    <cellStyle name="Normal 8 2 4 5 2 2 3 2" xfId="23995"/>
    <cellStyle name="Normal 8 2 4 5 2 2 4" xfId="23996"/>
    <cellStyle name="Normal 8 2 4 5 2 3" xfId="23997"/>
    <cellStyle name="Normal 8 2 4 5 2 3 2" xfId="23998"/>
    <cellStyle name="Normal 8 2 4 5 2 3 2 2" xfId="23999"/>
    <cellStyle name="Normal 8 2 4 5 2 3 3" xfId="24000"/>
    <cellStyle name="Normal 8 2 4 5 2 4" xfId="24001"/>
    <cellStyle name="Normal 8 2 4 5 2 4 2" xfId="24002"/>
    <cellStyle name="Normal 8 2 4 5 2 4 3" xfId="24003"/>
    <cellStyle name="Normal 8 2 4 5 2 5" xfId="24004"/>
    <cellStyle name="Normal 8 2 4 5 2 5 2" xfId="24005"/>
    <cellStyle name="Normal 8 2 4 5 2 6" xfId="24006"/>
    <cellStyle name="Normal 8 2 4 5 2 6 2" xfId="36989"/>
    <cellStyle name="Normal 8 2 4 5 2 7" xfId="24007"/>
    <cellStyle name="Normal 8 2 4 5 3" xfId="24008"/>
    <cellStyle name="Normal 8 2 4 5 3 2" xfId="24009"/>
    <cellStyle name="Normal 8 2 4 5 3 2 2" xfId="24010"/>
    <cellStyle name="Normal 8 2 4 5 3 2 2 2" xfId="24011"/>
    <cellStyle name="Normal 8 2 4 5 3 2 3" xfId="24012"/>
    <cellStyle name="Normal 8 2 4 5 3 3" xfId="24013"/>
    <cellStyle name="Normal 8 2 4 5 3 3 2" xfId="24014"/>
    <cellStyle name="Normal 8 2 4 5 3 4" xfId="24015"/>
    <cellStyle name="Normal 8 2 4 5 4" xfId="24016"/>
    <cellStyle name="Normal 8 2 4 5 4 2" xfId="24017"/>
    <cellStyle name="Normal 8 2 4 5 4 2 2" xfId="24018"/>
    <cellStyle name="Normal 8 2 4 5 4 3" xfId="24019"/>
    <cellStyle name="Normal 8 2 4 5 5" xfId="24020"/>
    <cellStyle name="Normal 8 2 4 5 5 2" xfId="24021"/>
    <cellStyle name="Normal 8 2 4 5 5 2 2" xfId="24022"/>
    <cellStyle name="Normal 8 2 4 5 5 3" xfId="24023"/>
    <cellStyle name="Normal 8 2 4 5 6" xfId="24024"/>
    <cellStyle name="Normal 8 2 4 5 6 2" xfId="24025"/>
    <cellStyle name="Normal 8 2 4 5 7" xfId="24026"/>
    <cellStyle name="Normal 8 2 4 5 7 2" xfId="36990"/>
    <cellStyle name="Normal 8 2 4 5 8" xfId="24027"/>
    <cellStyle name="Normal 8 2 4 6" xfId="24028"/>
    <cellStyle name="Normal 8 2 4 6 2" xfId="24029"/>
    <cellStyle name="Normal 8 2 4 6 2 2" xfId="24030"/>
    <cellStyle name="Normal 8 2 4 6 2 2 2" xfId="24031"/>
    <cellStyle name="Normal 8 2 4 6 2 2 3" xfId="24032"/>
    <cellStyle name="Normal 8 2 4 6 2 3" xfId="24033"/>
    <cellStyle name="Normal 8 2 4 6 2 3 2" xfId="24034"/>
    <cellStyle name="Normal 8 2 4 6 2 4" xfId="24035"/>
    <cellStyle name="Normal 8 2 4 6 3" xfId="24036"/>
    <cellStyle name="Normal 8 2 4 6 3 2" xfId="24037"/>
    <cellStyle name="Normal 8 2 4 6 3 2 2" xfId="24038"/>
    <cellStyle name="Normal 8 2 4 6 3 3" xfId="24039"/>
    <cellStyle name="Normal 8 2 4 6 4" xfId="24040"/>
    <cellStyle name="Normal 8 2 4 6 4 2" xfId="24041"/>
    <cellStyle name="Normal 8 2 4 6 4 3" xfId="24042"/>
    <cellStyle name="Normal 8 2 4 6 5" xfId="24043"/>
    <cellStyle name="Normal 8 2 4 6 5 2" xfId="24044"/>
    <cellStyle name="Normal 8 2 4 6 6" xfId="24045"/>
    <cellStyle name="Normal 8 2 4 6 6 2" xfId="36991"/>
    <cellStyle name="Normal 8 2 4 6 7" xfId="24046"/>
    <cellStyle name="Normal 8 2 4 7" xfId="24047"/>
    <cellStyle name="Normal 8 2 4 7 2" xfId="24048"/>
    <cellStyle name="Normal 8 2 4 7 2 2" xfId="24049"/>
    <cellStyle name="Normal 8 2 4 7 2 2 2" xfId="24050"/>
    <cellStyle name="Normal 8 2 4 7 2 3" xfId="24051"/>
    <cellStyle name="Normal 8 2 4 7 3" xfId="24052"/>
    <cellStyle name="Normal 8 2 4 7 3 2" xfId="24053"/>
    <cellStyle name="Normal 8 2 4 7 4" xfId="24054"/>
    <cellStyle name="Normal 8 2 4 8" xfId="24055"/>
    <cellStyle name="Normal 8 2 4 8 2" xfId="24056"/>
    <cellStyle name="Normal 8 2 4 8 2 2" xfId="24057"/>
    <cellStyle name="Normal 8 2 4 8 3" xfId="24058"/>
    <cellStyle name="Normal 8 2 4 9" xfId="24059"/>
    <cellStyle name="Normal 8 2 4 9 2" xfId="24060"/>
    <cellStyle name="Normal 8 2 4 9 2 2" xfId="24061"/>
    <cellStyle name="Normal 8 2 4 9 3" xfId="24062"/>
    <cellStyle name="Normal 8 2 5" xfId="24063"/>
    <cellStyle name="Normal 8 2 5 10" xfId="24064"/>
    <cellStyle name="Normal 8 2 5 10 2" xfId="24065"/>
    <cellStyle name="Normal 8 2 5 11" xfId="24066"/>
    <cellStyle name="Normal 8 2 5 11 2" xfId="36992"/>
    <cellStyle name="Normal 8 2 5 12" xfId="24067"/>
    <cellStyle name="Normal 8 2 5 2" xfId="24068"/>
    <cellStyle name="Normal 8 2 5 2 10" xfId="24069"/>
    <cellStyle name="Normal 8 2 5 2 2" xfId="24070"/>
    <cellStyle name="Normal 8 2 5 2 2 2" xfId="24071"/>
    <cellStyle name="Normal 8 2 5 2 2 2 2" xfId="24072"/>
    <cellStyle name="Normal 8 2 5 2 2 2 2 2" xfId="24073"/>
    <cellStyle name="Normal 8 2 5 2 2 2 2 2 2" xfId="24074"/>
    <cellStyle name="Normal 8 2 5 2 2 2 2 2 2 2" xfId="24075"/>
    <cellStyle name="Normal 8 2 5 2 2 2 2 2 2 3" xfId="24076"/>
    <cellStyle name="Normal 8 2 5 2 2 2 2 2 3" xfId="24077"/>
    <cellStyle name="Normal 8 2 5 2 2 2 2 2 3 2" xfId="24078"/>
    <cellStyle name="Normal 8 2 5 2 2 2 2 2 4" xfId="24079"/>
    <cellStyle name="Normal 8 2 5 2 2 2 2 3" xfId="24080"/>
    <cellStyle name="Normal 8 2 5 2 2 2 2 3 2" xfId="24081"/>
    <cellStyle name="Normal 8 2 5 2 2 2 2 3 2 2" xfId="24082"/>
    <cellStyle name="Normal 8 2 5 2 2 2 2 3 3" xfId="24083"/>
    <cellStyle name="Normal 8 2 5 2 2 2 2 4" xfId="24084"/>
    <cellStyle name="Normal 8 2 5 2 2 2 2 4 2" xfId="24085"/>
    <cellStyle name="Normal 8 2 5 2 2 2 2 4 3" xfId="24086"/>
    <cellStyle name="Normal 8 2 5 2 2 2 2 5" xfId="24087"/>
    <cellStyle name="Normal 8 2 5 2 2 2 2 5 2" xfId="24088"/>
    <cellStyle name="Normal 8 2 5 2 2 2 2 6" xfId="24089"/>
    <cellStyle name="Normal 8 2 5 2 2 2 2 6 2" xfId="36993"/>
    <cellStyle name="Normal 8 2 5 2 2 2 2 7" xfId="24090"/>
    <cellStyle name="Normal 8 2 5 2 2 2 3" xfId="24091"/>
    <cellStyle name="Normal 8 2 5 2 2 2 3 2" xfId="24092"/>
    <cellStyle name="Normal 8 2 5 2 2 2 3 2 2" xfId="24093"/>
    <cellStyle name="Normal 8 2 5 2 2 2 3 2 2 2" xfId="24094"/>
    <cellStyle name="Normal 8 2 5 2 2 2 3 2 3" xfId="24095"/>
    <cellStyle name="Normal 8 2 5 2 2 2 3 3" xfId="24096"/>
    <cellStyle name="Normal 8 2 5 2 2 2 3 3 2" xfId="24097"/>
    <cellStyle name="Normal 8 2 5 2 2 2 3 4" xfId="24098"/>
    <cellStyle name="Normal 8 2 5 2 2 2 4" xfId="24099"/>
    <cellStyle name="Normal 8 2 5 2 2 2 4 2" xfId="24100"/>
    <cellStyle name="Normal 8 2 5 2 2 2 4 2 2" xfId="24101"/>
    <cellStyle name="Normal 8 2 5 2 2 2 4 3" xfId="24102"/>
    <cellStyle name="Normal 8 2 5 2 2 2 5" xfId="24103"/>
    <cellStyle name="Normal 8 2 5 2 2 2 5 2" xfId="24104"/>
    <cellStyle name="Normal 8 2 5 2 2 2 5 2 2" xfId="24105"/>
    <cellStyle name="Normal 8 2 5 2 2 2 5 3" xfId="24106"/>
    <cellStyle name="Normal 8 2 5 2 2 2 6" xfId="24107"/>
    <cellStyle name="Normal 8 2 5 2 2 2 6 2" xfId="24108"/>
    <cellStyle name="Normal 8 2 5 2 2 2 7" xfId="24109"/>
    <cellStyle name="Normal 8 2 5 2 2 2 7 2" xfId="36994"/>
    <cellStyle name="Normal 8 2 5 2 2 2 8" xfId="24110"/>
    <cellStyle name="Normal 8 2 5 2 2 3" xfId="24111"/>
    <cellStyle name="Normal 8 2 5 2 2 3 2" xfId="24112"/>
    <cellStyle name="Normal 8 2 5 2 2 3 2 2" xfId="24113"/>
    <cellStyle name="Normal 8 2 5 2 2 3 2 2 2" xfId="24114"/>
    <cellStyle name="Normal 8 2 5 2 2 3 2 2 3" xfId="24115"/>
    <cellStyle name="Normal 8 2 5 2 2 3 2 3" xfId="24116"/>
    <cellStyle name="Normal 8 2 5 2 2 3 2 3 2" xfId="24117"/>
    <cellStyle name="Normal 8 2 5 2 2 3 2 4" xfId="24118"/>
    <cellStyle name="Normal 8 2 5 2 2 3 3" xfId="24119"/>
    <cellStyle name="Normal 8 2 5 2 2 3 3 2" xfId="24120"/>
    <cellStyle name="Normal 8 2 5 2 2 3 3 2 2" xfId="24121"/>
    <cellStyle name="Normal 8 2 5 2 2 3 3 3" xfId="24122"/>
    <cellStyle name="Normal 8 2 5 2 2 3 4" xfId="24123"/>
    <cellStyle name="Normal 8 2 5 2 2 3 4 2" xfId="24124"/>
    <cellStyle name="Normal 8 2 5 2 2 3 4 3" xfId="24125"/>
    <cellStyle name="Normal 8 2 5 2 2 3 5" xfId="24126"/>
    <cellStyle name="Normal 8 2 5 2 2 3 5 2" xfId="24127"/>
    <cellStyle name="Normal 8 2 5 2 2 3 6" xfId="24128"/>
    <cellStyle name="Normal 8 2 5 2 2 3 6 2" xfId="36995"/>
    <cellStyle name="Normal 8 2 5 2 2 3 7" xfId="24129"/>
    <cellStyle name="Normal 8 2 5 2 2 4" xfId="24130"/>
    <cellStyle name="Normal 8 2 5 2 2 4 2" xfId="24131"/>
    <cellStyle name="Normal 8 2 5 2 2 4 2 2" xfId="24132"/>
    <cellStyle name="Normal 8 2 5 2 2 4 2 2 2" xfId="24133"/>
    <cellStyle name="Normal 8 2 5 2 2 4 2 3" xfId="24134"/>
    <cellStyle name="Normal 8 2 5 2 2 4 3" xfId="24135"/>
    <cellStyle name="Normal 8 2 5 2 2 4 3 2" xfId="24136"/>
    <cellStyle name="Normal 8 2 5 2 2 4 4" xfId="24137"/>
    <cellStyle name="Normal 8 2 5 2 2 5" xfId="24138"/>
    <cellStyle name="Normal 8 2 5 2 2 5 2" xfId="24139"/>
    <cellStyle name="Normal 8 2 5 2 2 5 2 2" xfId="24140"/>
    <cellStyle name="Normal 8 2 5 2 2 5 3" xfId="24141"/>
    <cellStyle name="Normal 8 2 5 2 2 6" xfId="24142"/>
    <cellStyle name="Normal 8 2 5 2 2 6 2" xfId="24143"/>
    <cellStyle name="Normal 8 2 5 2 2 6 2 2" xfId="24144"/>
    <cellStyle name="Normal 8 2 5 2 2 6 3" xfId="24145"/>
    <cellStyle name="Normal 8 2 5 2 2 7" xfId="24146"/>
    <cellStyle name="Normal 8 2 5 2 2 7 2" xfId="24147"/>
    <cellStyle name="Normal 8 2 5 2 2 8" xfId="24148"/>
    <cellStyle name="Normal 8 2 5 2 2 8 2" xfId="36996"/>
    <cellStyle name="Normal 8 2 5 2 2 9" xfId="24149"/>
    <cellStyle name="Normal 8 2 5 2 3" xfId="24150"/>
    <cellStyle name="Normal 8 2 5 2 3 2" xfId="24151"/>
    <cellStyle name="Normal 8 2 5 2 3 2 2" xfId="24152"/>
    <cellStyle name="Normal 8 2 5 2 3 2 2 2" xfId="24153"/>
    <cellStyle name="Normal 8 2 5 2 3 2 2 2 2" xfId="24154"/>
    <cellStyle name="Normal 8 2 5 2 3 2 2 2 3" xfId="24155"/>
    <cellStyle name="Normal 8 2 5 2 3 2 2 3" xfId="24156"/>
    <cellStyle name="Normal 8 2 5 2 3 2 2 3 2" xfId="24157"/>
    <cellStyle name="Normal 8 2 5 2 3 2 2 4" xfId="24158"/>
    <cellStyle name="Normal 8 2 5 2 3 2 3" xfId="24159"/>
    <cellStyle name="Normal 8 2 5 2 3 2 3 2" xfId="24160"/>
    <cellStyle name="Normal 8 2 5 2 3 2 3 2 2" xfId="24161"/>
    <cellStyle name="Normal 8 2 5 2 3 2 3 3" xfId="24162"/>
    <cellStyle name="Normal 8 2 5 2 3 2 4" xfId="24163"/>
    <cellStyle name="Normal 8 2 5 2 3 2 4 2" xfId="24164"/>
    <cellStyle name="Normal 8 2 5 2 3 2 4 3" xfId="24165"/>
    <cellStyle name="Normal 8 2 5 2 3 2 5" xfId="24166"/>
    <cellStyle name="Normal 8 2 5 2 3 2 5 2" xfId="24167"/>
    <cellStyle name="Normal 8 2 5 2 3 2 6" xfId="24168"/>
    <cellStyle name="Normal 8 2 5 2 3 2 6 2" xfId="36997"/>
    <cellStyle name="Normal 8 2 5 2 3 2 7" xfId="24169"/>
    <cellStyle name="Normal 8 2 5 2 3 3" xfId="24170"/>
    <cellStyle name="Normal 8 2 5 2 3 3 2" xfId="24171"/>
    <cellStyle name="Normal 8 2 5 2 3 3 2 2" xfId="24172"/>
    <cellStyle name="Normal 8 2 5 2 3 3 2 2 2" xfId="24173"/>
    <cellStyle name="Normal 8 2 5 2 3 3 2 3" xfId="24174"/>
    <cellStyle name="Normal 8 2 5 2 3 3 3" xfId="24175"/>
    <cellStyle name="Normal 8 2 5 2 3 3 3 2" xfId="24176"/>
    <cellStyle name="Normal 8 2 5 2 3 3 4" xfId="24177"/>
    <cellStyle name="Normal 8 2 5 2 3 4" xfId="24178"/>
    <cellStyle name="Normal 8 2 5 2 3 4 2" xfId="24179"/>
    <cellStyle name="Normal 8 2 5 2 3 4 2 2" xfId="24180"/>
    <cellStyle name="Normal 8 2 5 2 3 4 3" xfId="24181"/>
    <cellStyle name="Normal 8 2 5 2 3 5" xfId="24182"/>
    <cellStyle name="Normal 8 2 5 2 3 5 2" xfId="24183"/>
    <cellStyle name="Normal 8 2 5 2 3 5 2 2" xfId="24184"/>
    <cellStyle name="Normal 8 2 5 2 3 5 3" xfId="24185"/>
    <cellStyle name="Normal 8 2 5 2 3 6" xfId="24186"/>
    <cellStyle name="Normal 8 2 5 2 3 6 2" xfId="24187"/>
    <cellStyle name="Normal 8 2 5 2 3 7" xfId="24188"/>
    <cellStyle name="Normal 8 2 5 2 3 7 2" xfId="36998"/>
    <cellStyle name="Normal 8 2 5 2 3 8" xfId="24189"/>
    <cellStyle name="Normal 8 2 5 2 4" xfId="24190"/>
    <cellStyle name="Normal 8 2 5 2 4 2" xfId="24191"/>
    <cellStyle name="Normal 8 2 5 2 4 2 2" xfId="24192"/>
    <cellStyle name="Normal 8 2 5 2 4 2 2 2" xfId="24193"/>
    <cellStyle name="Normal 8 2 5 2 4 2 2 3" xfId="24194"/>
    <cellStyle name="Normal 8 2 5 2 4 2 3" xfId="24195"/>
    <cellStyle name="Normal 8 2 5 2 4 2 3 2" xfId="24196"/>
    <cellStyle name="Normal 8 2 5 2 4 2 4" xfId="24197"/>
    <cellStyle name="Normal 8 2 5 2 4 3" xfId="24198"/>
    <cellStyle name="Normal 8 2 5 2 4 3 2" xfId="24199"/>
    <cellStyle name="Normal 8 2 5 2 4 3 2 2" xfId="24200"/>
    <cellStyle name="Normal 8 2 5 2 4 3 3" xfId="24201"/>
    <cellStyle name="Normal 8 2 5 2 4 4" xfId="24202"/>
    <cellStyle name="Normal 8 2 5 2 4 4 2" xfId="24203"/>
    <cellStyle name="Normal 8 2 5 2 4 4 3" xfId="24204"/>
    <cellStyle name="Normal 8 2 5 2 4 5" xfId="24205"/>
    <cellStyle name="Normal 8 2 5 2 4 5 2" xfId="24206"/>
    <cellStyle name="Normal 8 2 5 2 4 6" xfId="24207"/>
    <cellStyle name="Normal 8 2 5 2 4 6 2" xfId="36999"/>
    <cellStyle name="Normal 8 2 5 2 4 7" xfId="24208"/>
    <cellStyle name="Normal 8 2 5 2 5" xfId="24209"/>
    <cellStyle name="Normal 8 2 5 2 5 2" xfId="24210"/>
    <cellStyle name="Normal 8 2 5 2 5 2 2" xfId="24211"/>
    <cellStyle name="Normal 8 2 5 2 5 2 2 2" xfId="24212"/>
    <cellStyle name="Normal 8 2 5 2 5 2 3" xfId="24213"/>
    <cellStyle name="Normal 8 2 5 2 5 3" xfId="24214"/>
    <cellStyle name="Normal 8 2 5 2 5 3 2" xfId="24215"/>
    <cellStyle name="Normal 8 2 5 2 5 4" xfId="24216"/>
    <cellStyle name="Normal 8 2 5 2 6" xfId="24217"/>
    <cellStyle name="Normal 8 2 5 2 6 2" xfId="24218"/>
    <cellStyle name="Normal 8 2 5 2 6 2 2" xfId="24219"/>
    <cellStyle name="Normal 8 2 5 2 6 3" xfId="24220"/>
    <cellStyle name="Normal 8 2 5 2 7" xfId="24221"/>
    <cellStyle name="Normal 8 2 5 2 7 2" xfId="24222"/>
    <cellStyle name="Normal 8 2 5 2 7 2 2" xfId="24223"/>
    <cellStyle name="Normal 8 2 5 2 7 3" xfId="24224"/>
    <cellStyle name="Normal 8 2 5 2 8" xfId="24225"/>
    <cellStyle name="Normal 8 2 5 2 8 2" xfId="24226"/>
    <cellStyle name="Normal 8 2 5 2 9" xfId="24227"/>
    <cellStyle name="Normal 8 2 5 2 9 2" xfId="37000"/>
    <cellStyle name="Normal 8 2 5 3" xfId="24228"/>
    <cellStyle name="Normal 8 2 5 3 2" xfId="24229"/>
    <cellStyle name="Normal 8 2 5 3 2 2" xfId="24230"/>
    <cellStyle name="Normal 8 2 5 3 2 2 2" xfId="24231"/>
    <cellStyle name="Normal 8 2 5 3 2 2 2 2" xfId="24232"/>
    <cellStyle name="Normal 8 2 5 3 2 2 2 2 2" xfId="24233"/>
    <cellStyle name="Normal 8 2 5 3 2 2 2 2 3" xfId="24234"/>
    <cellStyle name="Normal 8 2 5 3 2 2 2 3" xfId="24235"/>
    <cellStyle name="Normal 8 2 5 3 2 2 2 3 2" xfId="24236"/>
    <cellStyle name="Normal 8 2 5 3 2 2 2 4" xfId="24237"/>
    <cellStyle name="Normal 8 2 5 3 2 2 3" xfId="24238"/>
    <cellStyle name="Normal 8 2 5 3 2 2 3 2" xfId="24239"/>
    <cellStyle name="Normal 8 2 5 3 2 2 3 2 2" xfId="24240"/>
    <cellStyle name="Normal 8 2 5 3 2 2 3 3" xfId="24241"/>
    <cellStyle name="Normal 8 2 5 3 2 2 4" xfId="24242"/>
    <cellStyle name="Normal 8 2 5 3 2 2 4 2" xfId="24243"/>
    <cellStyle name="Normal 8 2 5 3 2 2 4 3" xfId="24244"/>
    <cellStyle name="Normal 8 2 5 3 2 2 5" xfId="24245"/>
    <cellStyle name="Normal 8 2 5 3 2 2 5 2" xfId="24246"/>
    <cellStyle name="Normal 8 2 5 3 2 2 6" xfId="24247"/>
    <cellStyle name="Normal 8 2 5 3 2 2 6 2" xfId="37001"/>
    <cellStyle name="Normal 8 2 5 3 2 2 7" xfId="24248"/>
    <cellStyle name="Normal 8 2 5 3 2 3" xfId="24249"/>
    <cellStyle name="Normal 8 2 5 3 2 3 2" xfId="24250"/>
    <cellStyle name="Normal 8 2 5 3 2 3 2 2" xfId="24251"/>
    <cellStyle name="Normal 8 2 5 3 2 3 2 2 2" xfId="24252"/>
    <cellStyle name="Normal 8 2 5 3 2 3 2 3" xfId="24253"/>
    <cellStyle name="Normal 8 2 5 3 2 3 3" xfId="24254"/>
    <cellStyle name="Normal 8 2 5 3 2 3 3 2" xfId="24255"/>
    <cellStyle name="Normal 8 2 5 3 2 3 4" xfId="24256"/>
    <cellStyle name="Normal 8 2 5 3 2 4" xfId="24257"/>
    <cellStyle name="Normal 8 2 5 3 2 4 2" xfId="24258"/>
    <cellStyle name="Normal 8 2 5 3 2 4 2 2" xfId="24259"/>
    <cellStyle name="Normal 8 2 5 3 2 4 3" xfId="24260"/>
    <cellStyle name="Normal 8 2 5 3 2 5" xfId="24261"/>
    <cellStyle name="Normal 8 2 5 3 2 5 2" xfId="24262"/>
    <cellStyle name="Normal 8 2 5 3 2 5 2 2" xfId="24263"/>
    <cellStyle name="Normal 8 2 5 3 2 5 3" xfId="24264"/>
    <cellStyle name="Normal 8 2 5 3 2 6" xfId="24265"/>
    <cellStyle name="Normal 8 2 5 3 2 6 2" xfId="24266"/>
    <cellStyle name="Normal 8 2 5 3 2 7" xfId="24267"/>
    <cellStyle name="Normal 8 2 5 3 2 7 2" xfId="37002"/>
    <cellStyle name="Normal 8 2 5 3 2 8" xfId="24268"/>
    <cellStyle name="Normal 8 2 5 3 3" xfId="24269"/>
    <cellStyle name="Normal 8 2 5 3 3 2" xfId="24270"/>
    <cellStyle name="Normal 8 2 5 3 3 2 2" xfId="24271"/>
    <cellStyle name="Normal 8 2 5 3 3 2 2 2" xfId="24272"/>
    <cellStyle name="Normal 8 2 5 3 3 2 2 3" xfId="24273"/>
    <cellStyle name="Normal 8 2 5 3 3 2 3" xfId="24274"/>
    <cellStyle name="Normal 8 2 5 3 3 2 3 2" xfId="24275"/>
    <cellStyle name="Normal 8 2 5 3 3 2 4" xfId="24276"/>
    <cellStyle name="Normal 8 2 5 3 3 3" xfId="24277"/>
    <cellStyle name="Normal 8 2 5 3 3 3 2" xfId="24278"/>
    <cellStyle name="Normal 8 2 5 3 3 3 2 2" xfId="24279"/>
    <cellStyle name="Normal 8 2 5 3 3 3 3" xfId="24280"/>
    <cellStyle name="Normal 8 2 5 3 3 4" xfId="24281"/>
    <cellStyle name="Normal 8 2 5 3 3 4 2" xfId="24282"/>
    <cellStyle name="Normal 8 2 5 3 3 4 3" xfId="24283"/>
    <cellStyle name="Normal 8 2 5 3 3 5" xfId="24284"/>
    <cellStyle name="Normal 8 2 5 3 3 5 2" xfId="24285"/>
    <cellStyle name="Normal 8 2 5 3 3 6" xfId="24286"/>
    <cellStyle name="Normal 8 2 5 3 3 6 2" xfId="37003"/>
    <cellStyle name="Normal 8 2 5 3 3 7" xfId="24287"/>
    <cellStyle name="Normal 8 2 5 3 4" xfId="24288"/>
    <cellStyle name="Normal 8 2 5 3 4 2" xfId="24289"/>
    <cellStyle name="Normal 8 2 5 3 4 2 2" xfId="24290"/>
    <cellStyle name="Normal 8 2 5 3 4 2 2 2" xfId="24291"/>
    <cellStyle name="Normal 8 2 5 3 4 2 3" xfId="24292"/>
    <cellStyle name="Normal 8 2 5 3 4 3" xfId="24293"/>
    <cellStyle name="Normal 8 2 5 3 4 3 2" xfId="24294"/>
    <cellStyle name="Normal 8 2 5 3 4 4" xfId="24295"/>
    <cellStyle name="Normal 8 2 5 3 5" xfId="24296"/>
    <cellStyle name="Normal 8 2 5 3 5 2" xfId="24297"/>
    <cellStyle name="Normal 8 2 5 3 5 2 2" xfId="24298"/>
    <cellStyle name="Normal 8 2 5 3 5 3" xfId="24299"/>
    <cellStyle name="Normal 8 2 5 3 6" xfId="24300"/>
    <cellStyle name="Normal 8 2 5 3 6 2" xfId="24301"/>
    <cellStyle name="Normal 8 2 5 3 6 2 2" xfId="24302"/>
    <cellStyle name="Normal 8 2 5 3 6 3" xfId="24303"/>
    <cellStyle name="Normal 8 2 5 3 7" xfId="24304"/>
    <cellStyle name="Normal 8 2 5 3 7 2" xfId="24305"/>
    <cellStyle name="Normal 8 2 5 3 8" xfId="24306"/>
    <cellStyle name="Normal 8 2 5 3 8 2" xfId="37004"/>
    <cellStyle name="Normal 8 2 5 3 9" xfId="24307"/>
    <cellStyle name="Normal 8 2 5 4" xfId="24308"/>
    <cellStyle name="Normal 8 2 5 4 2" xfId="24309"/>
    <cellStyle name="Normal 8 2 5 4 2 2" xfId="24310"/>
    <cellStyle name="Normal 8 2 5 4 2 2 2" xfId="24311"/>
    <cellStyle name="Normal 8 2 5 4 2 2 2 2" xfId="24312"/>
    <cellStyle name="Normal 8 2 5 4 2 2 2 3" xfId="24313"/>
    <cellStyle name="Normal 8 2 5 4 2 2 3" xfId="24314"/>
    <cellStyle name="Normal 8 2 5 4 2 2 3 2" xfId="24315"/>
    <cellStyle name="Normal 8 2 5 4 2 2 4" xfId="24316"/>
    <cellStyle name="Normal 8 2 5 4 2 3" xfId="24317"/>
    <cellStyle name="Normal 8 2 5 4 2 3 2" xfId="24318"/>
    <cellStyle name="Normal 8 2 5 4 2 3 2 2" xfId="24319"/>
    <cellStyle name="Normal 8 2 5 4 2 3 3" xfId="24320"/>
    <cellStyle name="Normal 8 2 5 4 2 4" xfId="24321"/>
    <cellStyle name="Normal 8 2 5 4 2 4 2" xfId="24322"/>
    <cellStyle name="Normal 8 2 5 4 2 4 3" xfId="24323"/>
    <cellStyle name="Normal 8 2 5 4 2 5" xfId="24324"/>
    <cellStyle name="Normal 8 2 5 4 2 5 2" xfId="24325"/>
    <cellStyle name="Normal 8 2 5 4 2 6" xfId="24326"/>
    <cellStyle name="Normal 8 2 5 4 2 6 2" xfId="37005"/>
    <cellStyle name="Normal 8 2 5 4 2 7" xfId="24327"/>
    <cellStyle name="Normal 8 2 5 4 3" xfId="24328"/>
    <cellStyle name="Normal 8 2 5 4 3 2" xfId="24329"/>
    <cellStyle name="Normal 8 2 5 4 3 2 2" xfId="24330"/>
    <cellStyle name="Normal 8 2 5 4 3 2 2 2" xfId="24331"/>
    <cellStyle name="Normal 8 2 5 4 3 2 3" xfId="24332"/>
    <cellStyle name="Normal 8 2 5 4 3 3" xfId="24333"/>
    <cellStyle name="Normal 8 2 5 4 3 3 2" xfId="24334"/>
    <cellStyle name="Normal 8 2 5 4 3 4" xfId="24335"/>
    <cellStyle name="Normal 8 2 5 4 4" xfId="24336"/>
    <cellStyle name="Normal 8 2 5 4 4 2" xfId="24337"/>
    <cellStyle name="Normal 8 2 5 4 4 2 2" xfId="24338"/>
    <cellStyle name="Normal 8 2 5 4 4 3" xfId="24339"/>
    <cellStyle name="Normal 8 2 5 4 5" xfId="24340"/>
    <cellStyle name="Normal 8 2 5 4 5 2" xfId="24341"/>
    <cellStyle name="Normal 8 2 5 4 5 2 2" xfId="24342"/>
    <cellStyle name="Normal 8 2 5 4 5 3" xfId="24343"/>
    <cellStyle name="Normal 8 2 5 4 6" xfId="24344"/>
    <cellStyle name="Normal 8 2 5 4 6 2" xfId="24345"/>
    <cellStyle name="Normal 8 2 5 4 7" xfId="24346"/>
    <cellStyle name="Normal 8 2 5 4 7 2" xfId="37006"/>
    <cellStyle name="Normal 8 2 5 4 8" xfId="24347"/>
    <cellStyle name="Normal 8 2 5 5" xfId="24348"/>
    <cellStyle name="Normal 8 2 5 5 2" xfId="24349"/>
    <cellStyle name="Normal 8 2 5 5 2 2" xfId="24350"/>
    <cellStyle name="Normal 8 2 5 5 2 2 2" xfId="24351"/>
    <cellStyle name="Normal 8 2 5 5 2 2 2 2" xfId="24352"/>
    <cellStyle name="Normal 8 2 5 5 2 2 2 3" xfId="24353"/>
    <cellStyle name="Normal 8 2 5 5 2 2 3" xfId="24354"/>
    <cellStyle name="Normal 8 2 5 5 2 2 3 2" xfId="24355"/>
    <cellStyle name="Normal 8 2 5 5 2 2 4" xfId="24356"/>
    <cellStyle name="Normal 8 2 5 5 2 3" xfId="24357"/>
    <cellStyle name="Normal 8 2 5 5 2 3 2" xfId="24358"/>
    <cellStyle name="Normal 8 2 5 5 2 3 2 2" xfId="24359"/>
    <cellStyle name="Normal 8 2 5 5 2 3 3" xfId="24360"/>
    <cellStyle name="Normal 8 2 5 5 2 4" xfId="24361"/>
    <cellStyle name="Normal 8 2 5 5 2 4 2" xfId="24362"/>
    <cellStyle name="Normal 8 2 5 5 2 4 3" xfId="24363"/>
    <cellStyle name="Normal 8 2 5 5 2 5" xfId="24364"/>
    <cellStyle name="Normal 8 2 5 5 2 5 2" xfId="24365"/>
    <cellStyle name="Normal 8 2 5 5 2 6" xfId="24366"/>
    <cellStyle name="Normal 8 2 5 5 2 6 2" xfId="37007"/>
    <cellStyle name="Normal 8 2 5 5 2 7" xfId="24367"/>
    <cellStyle name="Normal 8 2 5 5 3" xfId="24368"/>
    <cellStyle name="Normal 8 2 5 5 3 2" xfId="24369"/>
    <cellStyle name="Normal 8 2 5 5 3 2 2" xfId="24370"/>
    <cellStyle name="Normal 8 2 5 5 3 2 2 2" xfId="24371"/>
    <cellStyle name="Normal 8 2 5 5 3 2 3" xfId="24372"/>
    <cellStyle name="Normal 8 2 5 5 3 3" xfId="24373"/>
    <cellStyle name="Normal 8 2 5 5 3 3 2" xfId="24374"/>
    <cellStyle name="Normal 8 2 5 5 3 4" xfId="24375"/>
    <cellStyle name="Normal 8 2 5 5 4" xfId="24376"/>
    <cellStyle name="Normal 8 2 5 5 4 2" xfId="24377"/>
    <cellStyle name="Normal 8 2 5 5 4 2 2" xfId="24378"/>
    <cellStyle name="Normal 8 2 5 5 4 3" xfId="24379"/>
    <cellStyle name="Normal 8 2 5 5 5" xfId="24380"/>
    <cellStyle name="Normal 8 2 5 5 5 2" xfId="24381"/>
    <cellStyle name="Normal 8 2 5 5 5 2 2" xfId="24382"/>
    <cellStyle name="Normal 8 2 5 5 5 3" xfId="24383"/>
    <cellStyle name="Normal 8 2 5 5 6" xfId="24384"/>
    <cellStyle name="Normal 8 2 5 5 6 2" xfId="24385"/>
    <cellStyle name="Normal 8 2 5 5 7" xfId="24386"/>
    <cellStyle name="Normal 8 2 5 5 7 2" xfId="37008"/>
    <cellStyle name="Normal 8 2 5 5 8" xfId="24387"/>
    <cellStyle name="Normal 8 2 5 6" xfId="24388"/>
    <cellStyle name="Normal 8 2 5 6 2" xfId="24389"/>
    <cellStyle name="Normal 8 2 5 6 2 2" xfId="24390"/>
    <cellStyle name="Normal 8 2 5 6 2 2 2" xfId="24391"/>
    <cellStyle name="Normal 8 2 5 6 2 2 3" xfId="24392"/>
    <cellStyle name="Normal 8 2 5 6 2 3" xfId="24393"/>
    <cellStyle name="Normal 8 2 5 6 2 3 2" xfId="24394"/>
    <cellStyle name="Normal 8 2 5 6 2 4" xfId="24395"/>
    <cellStyle name="Normal 8 2 5 6 3" xfId="24396"/>
    <cellStyle name="Normal 8 2 5 6 3 2" xfId="24397"/>
    <cellStyle name="Normal 8 2 5 6 3 2 2" xfId="24398"/>
    <cellStyle name="Normal 8 2 5 6 3 3" xfId="24399"/>
    <cellStyle name="Normal 8 2 5 6 4" xfId="24400"/>
    <cellStyle name="Normal 8 2 5 6 4 2" xfId="24401"/>
    <cellStyle name="Normal 8 2 5 6 4 3" xfId="24402"/>
    <cellStyle name="Normal 8 2 5 6 5" xfId="24403"/>
    <cellStyle name="Normal 8 2 5 6 5 2" xfId="24404"/>
    <cellStyle name="Normal 8 2 5 6 6" xfId="24405"/>
    <cellStyle name="Normal 8 2 5 6 6 2" xfId="37009"/>
    <cellStyle name="Normal 8 2 5 6 7" xfId="24406"/>
    <cellStyle name="Normal 8 2 5 7" xfId="24407"/>
    <cellStyle name="Normal 8 2 5 7 2" xfId="24408"/>
    <cellStyle name="Normal 8 2 5 7 2 2" xfId="24409"/>
    <cellStyle name="Normal 8 2 5 7 2 2 2" xfId="24410"/>
    <cellStyle name="Normal 8 2 5 7 2 3" xfId="24411"/>
    <cellStyle name="Normal 8 2 5 7 3" xfId="24412"/>
    <cellStyle name="Normal 8 2 5 7 3 2" xfId="24413"/>
    <cellStyle name="Normal 8 2 5 7 4" xfId="24414"/>
    <cellStyle name="Normal 8 2 5 8" xfId="24415"/>
    <cellStyle name="Normal 8 2 5 8 2" xfId="24416"/>
    <cellStyle name="Normal 8 2 5 8 2 2" xfId="24417"/>
    <cellStyle name="Normal 8 2 5 8 3" xfId="24418"/>
    <cellStyle name="Normal 8 2 5 9" xfId="24419"/>
    <cellStyle name="Normal 8 2 5 9 2" xfId="24420"/>
    <cellStyle name="Normal 8 2 5 9 2 2" xfId="24421"/>
    <cellStyle name="Normal 8 2 5 9 3" xfId="24422"/>
    <cellStyle name="Normal 8 2 6" xfId="24423"/>
    <cellStyle name="Normal 8 2 6 10" xfId="24424"/>
    <cellStyle name="Normal 8 2 6 2" xfId="24425"/>
    <cellStyle name="Normal 8 2 6 2 2" xfId="24426"/>
    <cellStyle name="Normal 8 2 6 2 2 2" xfId="24427"/>
    <cellStyle name="Normal 8 2 6 2 2 2 2" xfId="24428"/>
    <cellStyle name="Normal 8 2 6 2 2 2 2 2" xfId="24429"/>
    <cellStyle name="Normal 8 2 6 2 2 2 2 2 2" xfId="24430"/>
    <cellStyle name="Normal 8 2 6 2 2 2 2 2 3" xfId="24431"/>
    <cellStyle name="Normal 8 2 6 2 2 2 2 3" xfId="24432"/>
    <cellStyle name="Normal 8 2 6 2 2 2 2 3 2" xfId="24433"/>
    <cellStyle name="Normal 8 2 6 2 2 2 2 4" xfId="24434"/>
    <cellStyle name="Normal 8 2 6 2 2 2 3" xfId="24435"/>
    <cellStyle name="Normal 8 2 6 2 2 2 3 2" xfId="24436"/>
    <cellStyle name="Normal 8 2 6 2 2 2 3 2 2" xfId="24437"/>
    <cellStyle name="Normal 8 2 6 2 2 2 3 3" xfId="24438"/>
    <cellStyle name="Normal 8 2 6 2 2 2 4" xfId="24439"/>
    <cellStyle name="Normal 8 2 6 2 2 2 4 2" xfId="24440"/>
    <cellStyle name="Normal 8 2 6 2 2 2 4 3" xfId="24441"/>
    <cellStyle name="Normal 8 2 6 2 2 2 5" xfId="24442"/>
    <cellStyle name="Normal 8 2 6 2 2 2 5 2" xfId="24443"/>
    <cellStyle name="Normal 8 2 6 2 2 2 6" xfId="24444"/>
    <cellStyle name="Normal 8 2 6 2 2 2 6 2" xfId="37010"/>
    <cellStyle name="Normal 8 2 6 2 2 2 7" xfId="24445"/>
    <cellStyle name="Normal 8 2 6 2 2 3" xfId="24446"/>
    <cellStyle name="Normal 8 2 6 2 2 3 2" xfId="24447"/>
    <cellStyle name="Normal 8 2 6 2 2 3 2 2" xfId="24448"/>
    <cellStyle name="Normal 8 2 6 2 2 3 2 2 2" xfId="24449"/>
    <cellStyle name="Normal 8 2 6 2 2 3 2 3" xfId="24450"/>
    <cellStyle name="Normal 8 2 6 2 2 3 3" xfId="24451"/>
    <cellStyle name="Normal 8 2 6 2 2 3 3 2" xfId="24452"/>
    <cellStyle name="Normal 8 2 6 2 2 3 4" xfId="24453"/>
    <cellStyle name="Normal 8 2 6 2 2 4" xfId="24454"/>
    <cellStyle name="Normal 8 2 6 2 2 4 2" xfId="24455"/>
    <cellStyle name="Normal 8 2 6 2 2 4 2 2" xfId="24456"/>
    <cellStyle name="Normal 8 2 6 2 2 4 3" xfId="24457"/>
    <cellStyle name="Normal 8 2 6 2 2 5" xfId="24458"/>
    <cellStyle name="Normal 8 2 6 2 2 5 2" xfId="24459"/>
    <cellStyle name="Normal 8 2 6 2 2 5 2 2" xfId="24460"/>
    <cellStyle name="Normal 8 2 6 2 2 5 3" xfId="24461"/>
    <cellStyle name="Normal 8 2 6 2 2 6" xfId="24462"/>
    <cellStyle name="Normal 8 2 6 2 2 6 2" xfId="24463"/>
    <cellStyle name="Normal 8 2 6 2 2 7" xfId="24464"/>
    <cellStyle name="Normal 8 2 6 2 2 7 2" xfId="37011"/>
    <cellStyle name="Normal 8 2 6 2 2 8" xfId="24465"/>
    <cellStyle name="Normal 8 2 6 2 3" xfId="24466"/>
    <cellStyle name="Normal 8 2 6 2 3 2" xfId="24467"/>
    <cellStyle name="Normal 8 2 6 2 3 2 2" xfId="24468"/>
    <cellStyle name="Normal 8 2 6 2 3 2 2 2" xfId="24469"/>
    <cellStyle name="Normal 8 2 6 2 3 2 2 3" xfId="24470"/>
    <cellStyle name="Normal 8 2 6 2 3 2 3" xfId="24471"/>
    <cellStyle name="Normal 8 2 6 2 3 2 3 2" xfId="24472"/>
    <cellStyle name="Normal 8 2 6 2 3 2 4" xfId="24473"/>
    <cellStyle name="Normal 8 2 6 2 3 3" xfId="24474"/>
    <cellStyle name="Normal 8 2 6 2 3 3 2" xfId="24475"/>
    <cellStyle name="Normal 8 2 6 2 3 3 2 2" xfId="24476"/>
    <cellStyle name="Normal 8 2 6 2 3 3 3" xfId="24477"/>
    <cellStyle name="Normal 8 2 6 2 3 4" xfId="24478"/>
    <cellStyle name="Normal 8 2 6 2 3 4 2" xfId="24479"/>
    <cellStyle name="Normal 8 2 6 2 3 4 3" xfId="24480"/>
    <cellStyle name="Normal 8 2 6 2 3 5" xfId="24481"/>
    <cellStyle name="Normal 8 2 6 2 3 5 2" xfId="24482"/>
    <cellStyle name="Normal 8 2 6 2 3 6" xfId="24483"/>
    <cellStyle name="Normal 8 2 6 2 3 6 2" xfId="37012"/>
    <cellStyle name="Normal 8 2 6 2 3 7" xfId="24484"/>
    <cellStyle name="Normal 8 2 6 2 4" xfId="24485"/>
    <cellStyle name="Normal 8 2 6 2 4 2" xfId="24486"/>
    <cellStyle name="Normal 8 2 6 2 4 2 2" xfId="24487"/>
    <cellStyle name="Normal 8 2 6 2 4 2 2 2" xfId="24488"/>
    <cellStyle name="Normal 8 2 6 2 4 2 3" xfId="24489"/>
    <cellStyle name="Normal 8 2 6 2 4 3" xfId="24490"/>
    <cellStyle name="Normal 8 2 6 2 4 3 2" xfId="24491"/>
    <cellStyle name="Normal 8 2 6 2 4 4" xfId="24492"/>
    <cellStyle name="Normal 8 2 6 2 5" xfId="24493"/>
    <cellStyle name="Normal 8 2 6 2 5 2" xfId="24494"/>
    <cellStyle name="Normal 8 2 6 2 5 2 2" xfId="24495"/>
    <cellStyle name="Normal 8 2 6 2 5 3" xfId="24496"/>
    <cellStyle name="Normal 8 2 6 2 6" xfId="24497"/>
    <cellStyle name="Normal 8 2 6 2 6 2" xfId="24498"/>
    <cellStyle name="Normal 8 2 6 2 6 2 2" xfId="24499"/>
    <cellStyle name="Normal 8 2 6 2 6 3" xfId="24500"/>
    <cellStyle name="Normal 8 2 6 2 7" xfId="24501"/>
    <cellStyle name="Normal 8 2 6 2 7 2" xfId="24502"/>
    <cellStyle name="Normal 8 2 6 2 8" xfId="24503"/>
    <cellStyle name="Normal 8 2 6 2 8 2" xfId="37013"/>
    <cellStyle name="Normal 8 2 6 2 9" xfId="24504"/>
    <cellStyle name="Normal 8 2 6 3" xfId="24505"/>
    <cellStyle name="Normal 8 2 6 3 2" xfId="24506"/>
    <cellStyle name="Normal 8 2 6 3 2 2" xfId="24507"/>
    <cellStyle name="Normal 8 2 6 3 2 2 2" xfId="24508"/>
    <cellStyle name="Normal 8 2 6 3 2 2 2 2" xfId="24509"/>
    <cellStyle name="Normal 8 2 6 3 2 2 2 3" xfId="24510"/>
    <cellStyle name="Normal 8 2 6 3 2 2 3" xfId="24511"/>
    <cellStyle name="Normal 8 2 6 3 2 2 3 2" xfId="24512"/>
    <cellStyle name="Normal 8 2 6 3 2 2 4" xfId="24513"/>
    <cellStyle name="Normal 8 2 6 3 2 3" xfId="24514"/>
    <cellStyle name="Normal 8 2 6 3 2 3 2" xfId="24515"/>
    <cellStyle name="Normal 8 2 6 3 2 3 2 2" xfId="24516"/>
    <cellStyle name="Normal 8 2 6 3 2 3 3" xfId="24517"/>
    <cellStyle name="Normal 8 2 6 3 2 4" xfId="24518"/>
    <cellStyle name="Normal 8 2 6 3 2 4 2" xfId="24519"/>
    <cellStyle name="Normal 8 2 6 3 2 4 3" xfId="24520"/>
    <cellStyle name="Normal 8 2 6 3 2 5" xfId="24521"/>
    <cellStyle name="Normal 8 2 6 3 2 5 2" xfId="24522"/>
    <cellStyle name="Normal 8 2 6 3 2 6" xfId="24523"/>
    <cellStyle name="Normal 8 2 6 3 2 6 2" xfId="37014"/>
    <cellStyle name="Normal 8 2 6 3 2 7" xfId="24524"/>
    <cellStyle name="Normal 8 2 6 3 3" xfId="24525"/>
    <cellStyle name="Normal 8 2 6 3 3 2" xfId="24526"/>
    <cellStyle name="Normal 8 2 6 3 3 2 2" xfId="24527"/>
    <cellStyle name="Normal 8 2 6 3 3 2 2 2" xfId="24528"/>
    <cellStyle name="Normal 8 2 6 3 3 2 3" xfId="24529"/>
    <cellStyle name="Normal 8 2 6 3 3 3" xfId="24530"/>
    <cellStyle name="Normal 8 2 6 3 3 3 2" xfId="24531"/>
    <cellStyle name="Normal 8 2 6 3 3 4" xfId="24532"/>
    <cellStyle name="Normal 8 2 6 3 4" xfId="24533"/>
    <cellStyle name="Normal 8 2 6 3 4 2" xfId="24534"/>
    <cellStyle name="Normal 8 2 6 3 4 2 2" xfId="24535"/>
    <cellStyle name="Normal 8 2 6 3 4 3" xfId="24536"/>
    <cellStyle name="Normal 8 2 6 3 5" xfId="24537"/>
    <cellStyle name="Normal 8 2 6 3 5 2" xfId="24538"/>
    <cellStyle name="Normal 8 2 6 3 5 2 2" xfId="24539"/>
    <cellStyle name="Normal 8 2 6 3 5 3" xfId="24540"/>
    <cellStyle name="Normal 8 2 6 3 6" xfId="24541"/>
    <cellStyle name="Normal 8 2 6 3 6 2" xfId="24542"/>
    <cellStyle name="Normal 8 2 6 3 7" xfId="24543"/>
    <cellStyle name="Normal 8 2 6 3 7 2" xfId="37015"/>
    <cellStyle name="Normal 8 2 6 3 8" xfId="24544"/>
    <cellStyle name="Normal 8 2 6 4" xfId="24545"/>
    <cellStyle name="Normal 8 2 6 4 2" xfId="24546"/>
    <cellStyle name="Normal 8 2 6 4 2 2" xfId="24547"/>
    <cellStyle name="Normal 8 2 6 4 2 2 2" xfId="24548"/>
    <cellStyle name="Normal 8 2 6 4 2 2 3" xfId="24549"/>
    <cellStyle name="Normal 8 2 6 4 2 3" xfId="24550"/>
    <cellStyle name="Normal 8 2 6 4 2 3 2" xfId="24551"/>
    <cellStyle name="Normal 8 2 6 4 2 4" xfId="24552"/>
    <cellStyle name="Normal 8 2 6 4 3" xfId="24553"/>
    <cellStyle name="Normal 8 2 6 4 3 2" xfId="24554"/>
    <cellStyle name="Normal 8 2 6 4 3 2 2" xfId="24555"/>
    <cellStyle name="Normal 8 2 6 4 3 3" xfId="24556"/>
    <cellStyle name="Normal 8 2 6 4 4" xfId="24557"/>
    <cellStyle name="Normal 8 2 6 4 4 2" xfId="24558"/>
    <cellStyle name="Normal 8 2 6 4 4 3" xfId="24559"/>
    <cellStyle name="Normal 8 2 6 4 5" xfId="24560"/>
    <cellStyle name="Normal 8 2 6 4 5 2" xfId="24561"/>
    <cellStyle name="Normal 8 2 6 4 6" xfId="24562"/>
    <cellStyle name="Normal 8 2 6 4 6 2" xfId="37016"/>
    <cellStyle name="Normal 8 2 6 4 7" xfId="24563"/>
    <cellStyle name="Normal 8 2 6 5" xfId="24564"/>
    <cellStyle name="Normal 8 2 6 5 2" xfId="24565"/>
    <cellStyle name="Normal 8 2 6 5 2 2" xfId="24566"/>
    <cellStyle name="Normal 8 2 6 5 2 2 2" xfId="24567"/>
    <cellStyle name="Normal 8 2 6 5 2 3" xfId="24568"/>
    <cellStyle name="Normal 8 2 6 5 3" xfId="24569"/>
    <cellStyle name="Normal 8 2 6 5 3 2" xfId="24570"/>
    <cellStyle name="Normal 8 2 6 5 4" xfId="24571"/>
    <cellStyle name="Normal 8 2 6 6" xfId="24572"/>
    <cellStyle name="Normal 8 2 6 6 2" xfId="24573"/>
    <cellStyle name="Normal 8 2 6 6 2 2" xfId="24574"/>
    <cellStyle name="Normal 8 2 6 6 3" xfId="24575"/>
    <cellStyle name="Normal 8 2 6 7" xfId="24576"/>
    <cellStyle name="Normal 8 2 6 7 2" xfId="24577"/>
    <cellStyle name="Normal 8 2 6 7 2 2" xfId="24578"/>
    <cellStyle name="Normal 8 2 6 7 3" xfId="24579"/>
    <cellStyle name="Normal 8 2 6 8" xfId="24580"/>
    <cellStyle name="Normal 8 2 6 8 2" xfId="24581"/>
    <cellStyle name="Normal 8 2 6 9" xfId="24582"/>
    <cellStyle name="Normal 8 2 6 9 2" xfId="37017"/>
    <cellStyle name="Normal 8 2 7" xfId="24583"/>
    <cellStyle name="Normal 8 2 7 2" xfId="24584"/>
    <cellStyle name="Normal 8 2 7 2 2" xfId="24585"/>
    <cellStyle name="Normal 8 2 7 2 2 2" xfId="24586"/>
    <cellStyle name="Normal 8 2 7 2 2 2 2" xfId="24587"/>
    <cellStyle name="Normal 8 2 7 2 2 2 2 2" xfId="24588"/>
    <cellStyle name="Normal 8 2 7 2 2 2 2 3" xfId="24589"/>
    <cellStyle name="Normal 8 2 7 2 2 2 3" xfId="24590"/>
    <cellStyle name="Normal 8 2 7 2 2 2 3 2" xfId="24591"/>
    <cellStyle name="Normal 8 2 7 2 2 2 4" xfId="24592"/>
    <cellStyle name="Normal 8 2 7 2 2 3" xfId="24593"/>
    <cellStyle name="Normal 8 2 7 2 2 3 2" xfId="24594"/>
    <cellStyle name="Normal 8 2 7 2 2 3 2 2" xfId="24595"/>
    <cellStyle name="Normal 8 2 7 2 2 3 3" xfId="24596"/>
    <cellStyle name="Normal 8 2 7 2 2 4" xfId="24597"/>
    <cellStyle name="Normal 8 2 7 2 2 4 2" xfId="24598"/>
    <cellStyle name="Normal 8 2 7 2 2 4 3" xfId="24599"/>
    <cellStyle name="Normal 8 2 7 2 2 5" xfId="24600"/>
    <cellStyle name="Normal 8 2 7 2 2 5 2" xfId="24601"/>
    <cellStyle name="Normal 8 2 7 2 2 6" xfId="24602"/>
    <cellStyle name="Normal 8 2 7 2 2 6 2" xfId="37018"/>
    <cellStyle name="Normal 8 2 7 2 2 7" xfId="24603"/>
    <cellStyle name="Normal 8 2 7 2 3" xfId="24604"/>
    <cellStyle name="Normal 8 2 7 2 3 2" xfId="24605"/>
    <cellStyle name="Normal 8 2 7 2 3 2 2" xfId="24606"/>
    <cellStyle name="Normal 8 2 7 2 3 2 2 2" xfId="24607"/>
    <cellStyle name="Normal 8 2 7 2 3 2 3" xfId="24608"/>
    <cellStyle name="Normal 8 2 7 2 3 3" xfId="24609"/>
    <cellStyle name="Normal 8 2 7 2 3 3 2" xfId="24610"/>
    <cellStyle name="Normal 8 2 7 2 3 4" xfId="24611"/>
    <cellStyle name="Normal 8 2 7 2 4" xfId="24612"/>
    <cellStyle name="Normal 8 2 7 2 4 2" xfId="24613"/>
    <cellStyle name="Normal 8 2 7 2 4 2 2" xfId="24614"/>
    <cellStyle name="Normal 8 2 7 2 4 3" xfId="24615"/>
    <cellStyle name="Normal 8 2 7 2 5" xfId="24616"/>
    <cellStyle name="Normal 8 2 7 2 5 2" xfId="24617"/>
    <cellStyle name="Normal 8 2 7 2 5 2 2" xfId="24618"/>
    <cellStyle name="Normal 8 2 7 2 5 3" xfId="24619"/>
    <cellStyle name="Normal 8 2 7 2 6" xfId="24620"/>
    <cellStyle name="Normal 8 2 7 2 6 2" xfId="24621"/>
    <cellStyle name="Normal 8 2 7 2 7" xfId="24622"/>
    <cellStyle name="Normal 8 2 7 2 7 2" xfId="37019"/>
    <cellStyle name="Normal 8 2 7 2 8" xfId="24623"/>
    <cellStyle name="Normal 8 2 7 3" xfId="24624"/>
    <cellStyle name="Normal 8 2 7 3 2" xfId="24625"/>
    <cellStyle name="Normal 8 2 7 3 2 2" xfId="24626"/>
    <cellStyle name="Normal 8 2 7 3 2 2 2" xfId="24627"/>
    <cellStyle name="Normal 8 2 7 3 2 2 3" xfId="24628"/>
    <cellStyle name="Normal 8 2 7 3 2 3" xfId="24629"/>
    <cellStyle name="Normal 8 2 7 3 2 3 2" xfId="24630"/>
    <cellStyle name="Normal 8 2 7 3 2 4" xfId="24631"/>
    <cellStyle name="Normal 8 2 7 3 3" xfId="24632"/>
    <cellStyle name="Normal 8 2 7 3 3 2" xfId="24633"/>
    <cellStyle name="Normal 8 2 7 3 3 2 2" xfId="24634"/>
    <cellStyle name="Normal 8 2 7 3 3 3" xfId="24635"/>
    <cellStyle name="Normal 8 2 7 3 4" xfId="24636"/>
    <cellStyle name="Normal 8 2 7 3 4 2" xfId="24637"/>
    <cellStyle name="Normal 8 2 7 3 4 3" xfId="24638"/>
    <cellStyle name="Normal 8 2 7 3 5" xfId="24639"/>
    <cellStyle name="Normal 8 2 7 3 5 2" xfId="24640"/>
    <cellStyle name="Normal 8 2 7 3 6" xfId="24641"/>
    <cellStyle name="Normal 8 2 7 3 6 2" xfId="37020"/>
    <cellStyle name="Normal 8 2 7 3 7" xfId="24642"/>
    <cellStyle name="Normal 8 2 7 4" xfId="24643"/>
    <cellStyle name="Normal 8 2 7 4 2" xfId="24644"/>
    <cellStyle name="Normal 8 2 7 4 2 2" xfId="24645"/>
    <cellStyle name="Normal 8 2 7 4 2 2 2" xfId="24646"/>
    <cellStyle name="Normal 8 2 7 4 2 3" xfId="24647"/>
    <cellStyle name="Normal 8 2 7 4 3" xfId="24648"/>
    <cellStyle name="Normal 8 2 7 4 3 2" xfId="24649"/>
    <cellStyle name="Normal 8 2 7 4 4" xfId="24650"/>
    <cellStyle name="Normal 8 2 7 5" xfId="24651"/>
    <cellStyle name="Normal 8 2 7 5 2" xfId="24652"/>
    <cellStyle name="Normal 8 2 7 5 2 2" xfId="24653"/>
    <cellStyle name="Normal 8 2 7 5 3" xfId="24654"/>
    <cellStyle name="Normal 8 2 7 6" xfId="24655"/>
    <cellStyle name="Normal 8 2 7 6 2" xfId="24656"/>
    <cellStyle name="Normal 8 2 7 6 2 2" xfId="24657"/>
    <cellStyle name="Normal 8 2 7 6 3" xfId="24658"/>
    <cellStyle name="Normal 8 2 7 7" xfId="24659"/>
    <cellStyle name="Normal 8 2 7 7 2" xfId="24660"/>
    <cellStyle name="Normal 8 2 7 8" xfId="24661"/>
    <cellStyle name="Normal 8 2 7 8 2" xfId="37021"/>
    <cellStyle name="Normal 8 2 7 9" xfId="24662"/>
    <cellStyle name="Normal 8 2 8" xfId="24663"/>
    <cellStyle name="Normal 8 2 8 2" xfId="24664"/>
    <cellStyle name="Normal 8 2 8 2 2" xfId="24665"/>
    <cellStyle name="Normal 8 2 8 2 2 2" xfId="24666"/>
    <cellStyle name="Normal 8 2 8 2 2 2 2" xfId="24667"/>
    <cellStyle name="Normal 8 2 8 2 2 2 2 2" xfId="24668"/>
    <cellStyle name="Normal 8 2 8 2 2 2 2 3" xfId="24669"/>
    <cellStyle name="Normal 8 2 8 2 2 2 3" xfId="24670"/>
    <cellStyle name="Normal 8 2 8 2 2 2 3 2" xfId="24671"/>
    <cellStyle name="Normal 8 2 8 2 2 2 4" xfId="24672"/>
    <cellStyle name="Normal 8 2 8 2 2 3" xfId="24673"/>
    <cellStyle name="Normal 8 2 8 2 2 3 2" xfId="24674"/>
    <cellStyle name="Normal 8 2 8 2 2 3 2 2" xfId="24675"/>
    <cellStyle name="Normal 8 2 8 2 2 3 3" xfId="24676"/>
    <cellStyle name="Normal 8 2 8 2 2 4" xfId="24677"/>
    <cellStyle name="Normal 8 2 8 2 2 4 2" xfId="24678"/>
    <cellStyle name="Normal 8 2 8 2 2 4 3" xfId="24679"/>
    <cellStyle name="Normal 8 2 8 2 2 5" xfId="24680"/>
    <cellStyle name="Normal 8 2 8 2 2 5 2" xfId="24681"/>
    <cellStyle name="Normal 8 2 8 2 2 6" xfId="24682"/>
    <cellStyle name="Normal 8 2 8 2 2 6 2" xfId="37022"/>
    <cellStyle name="Normal 8 2 8 2 2 7" xfId="24683"/>
    <cellStyle name="Normal 8 2 8 2 3" xfId="24684"/>
    <cellStyle name="Normal 8 2 8 2 3 2" xfId="24685"/>
    <cellStyle name="Normal 8 2 8 2 3 2 2" xfId="24686"/>
    <cellStyle name="Normal 8 2 8 2 3 2 2 2" xfId="24687"/>
    <cellStyle name="Normal 8 2 8 2 3 2 3" xfId="24688"/>
    <cellStyle name="Normal 8 2 8 2 3 3" xfId="24689"/>
    <cellStyle name="Normal 8 2 8 2 3 3 2" xfId="24690"/>
    <cellStyle name="Normal 8 2 8 2 3 4" xfId="24691"/>
    <cellStyle name="Normal 8 2 8 2 4" xfId="24692"/>
    <cellStyle name="Normal 8 2 8 2 4 2" xfId="24693"/>
    <cellStyle name="Normal 8 2 8 2 4 2 2" xfId="24694"/>
    <cellStyle name="Normal 8 2 8 2 4 3" xfId="24695"/>
    <cellStyle name="Normal 8 2 8 2 5" xfId="24696"/>
    <cellStyle name="Normal 8 2 8 2 5 2" xfId="24697"/>
    <cellStyle name="Normal 8 2 8 2 5 2 2" xfId="24698"/>
    <cellStyle name="Normal 8 2 8 2 5 3" xfId="24699"/>
    <cellStyle name="Normal 8 2 8 2 6" xfId="24700"/>
    <cellStyle name="Normal 8 2 8 2 6 2" xfId="24701"/>
    <cellStyle name="Normal 8 2 8 2 7" xfId="24702"/>
    <cellStyle name="Normal 8 2 8 2 7 2" xfId="37023"/>
    <cellStyle name="Normal 8 2 8 2 8" xfId="24703"/>
    <cellStyle name="Normal 8 2 8 3" xfId="24704"/>
    <cellStyle name="Normal 8 2 8 3 2" xfId="24705"/>
    <cellStyle name="Normal 8 2 8 3 2 2" xfId="24706"/>
    <cellStyle name="Normal 8 2 8 3 2 2 2" xfId="24707"/>
    <cellStyle name="Normal 8 2 8 3 2 2 3" xfId="24708"/>
    <cellStyle name="Normal 8 2 8 3 2 3" xfId="24709"/>
    <cellStyle name="Normal 8 2 8 3 2 3 2" xfId="24710"/>
    <cellStyle name="Normal 8 2 8 3 2 4" xfId="24711"/>
    <cellStyle name="Normal 8 2 8 3 3" xfId="24712"/>
    <cellStyle name="Normal 8 2 8 3 3 2" xfId="24713"/>
    <cellStyle name="Normal 8 2 8 3 3 2 2" xfId="24714"/>
    <cellStyle name="Normal 8 2 8 3 3 3" xfId="24715"/>
    <cellStyle name="Normal 8 2 8 3 4" xfId="24716"/>
    <cellStyle name="Normal 8 2 8 3 4 2" xfId="24717"/>
    <cellStyle name="Normal 8 2 8 3 4 3" xfId="24718"/>
    <cellStyle name="Normal 8 2 8 3 5" xfId="24719"/>
    <cellStyle name="Normal 8 2 8 3 5 2" xfId="24720"/>
    <cellStyle name="Normal 8 2 8 3 6" xfId="24721"/>
    <cellStyle name="Normal 8 2 8 3 6 2" xfId="37024"/>
    <cellStyle name="Normal 8 2 8 3 7" xfId="24722"/>
    <cellStyle name="Normal 8 2 8 4" xfId="24723"/>
    <cellStyle name="Normal 8 2 8 4 2" xfId="24724"/>
    <cellStyle name="Normal 8 2 8 4 2 2" xfId="24725"/>
    <cellStyle name="Normal 8 2 8 4 2 2 2" xfId="24726"/>
    <cellStyle name="Normal 8 2 8 4 2 3" xfId="24727"/>
    <cellStyle name="Normal 8 2 8 4 3" xfId="24728"/>
    <cellStyle name="Normal 8 2 8 4 3 2" xfId="24729"/>
    <cellStyle name="Normal 8 2 8 4 4" xfId="24730"/>
    <cellStyle name="Normal 8 2 8 5" xfId="24731"/>
    <cellStyle name="Normal 8 2 8 5 2" xfId="24732"/>
    <cellStyle name="Normal 8 2 8 5 2 2" xfId="24733"/>
    <cellStyle name="Normal 8 2 8 5 3" xfId="24734"/>
    <cellStyle name="Normal 8 2 8 6" xfId="24735"/>
    <cellStyle name="Normal 8 2 8 6 2" xfId="24736"/>
    <cellStyle name="Normal 8 2 8 6 2 2" xfId="24737"/>
    <cellStyle name="Normal 8 2 8 6 3" xfId="24738"/>
    <cellStyle name="Normal 8 2 8 7" xfId="24739"/>
    <cellStyle name="Normal 8 2 8 7 2" xfId="24740"/>
    <cellStyle name="Normal 8 2 8 8" xfId="24741"/>
    <cellStyle name="Normal 8 2 8 8 2" xfId="37025"/>
    <cellStyle name="Normal 8 2 8 9" xfId="24742"/>
    <cellStyle name="Normal 8 2 9" xfId="24743"/>
    <cellStyle name="Normal 8 2 9 2" xfId="24744"/>
    <cellStyle name="Normal 8 2 9 2 2" xfId="24745"/>
    <cellStyle name="Normal 8 2 9 2 2 2" xfId="24746"/>
    <cellStyle name="Normal 8 2 9 2 2 2 2" xfId="24747"/>
    <cellStyle name="Normal 8 2 9 2 2 2 3" xfId="24748"/>
    <cellStyle name="Normal 8 2 9 2 2 3" xfId="24749"/>
    <cellStyle name="Normal 8 2 9 2 2 3 2" xfId="24750"/>
    <cellStyle name="Normal 8 2 9 2 2 4" xfId="24751"/>
    <cellStyle name="Normal 8 2 9 2 3" xfId="24752"/>
    <cellStyle name="Normal 8 2 9 2 3 2" xfId="24753"/>
    <cellStyle name="Normal 8 2 9 2 3 2 2" xfId="24754"/>
    <cellStyle name="Normal 8 2 9 2 3 3" xfId="24755"/>
    <cellStyle name="Normal 8 2 9 2 4" xfId="24756"/>
    <cellStyle name="Normal 8 2 9 2 4 2" xfId="24757"/>
    <cellStyle name="Normal 8 2 9 2 4 3" xfId="24758"/>
    <cellStyle name="Normal 8 2 9 2 5" xfId="24759"/>
    <cellStyle name="Normal 8 2 9 2 5 2" xfId="24760"/>
    <cellStyle name="Normal 8 2 9 2 6" xfId="24761"/>
    <cellStyle name="Normal 8 2 9 2 6 2" xfId="37026"/>
    <cellStyle name="Normal 8 2 9 2 7" xfId="24762"/>
    <cellStyle name="Normal 8 2 9 3" xfId="24763"/>
    <cellStyle name="Normal 8 2 9 3 2" xfId="24764"/>
    <cellStyle name="Normal 8 2 9 3 2 2" xfId="24765"/>
    <cellStyle name="Normal 8 2 9 3 2 2 2" xfId="24766"/>
    <cellStyle name="Normal 8 2 9 3 2 3" xfId="24767"/>
    <cellStyle name="Normal 8 2 9 3 3" xfId="24768"/>
    <cellStyle name="Normal 8 2 9 3 3 2" xfId="24769"/>
    <cellStyle name="Normal 8 2 9 3 4" xfId="24770"/>
    <cellStyle name="Normal 8 2 9 4" xfId="24771"/>
    <cellStyle name="Normal 8 2 9 4 2" xfId="24772"/>
    <cellStyle name="Normal 8 2 9 4 2 2" xfId="24773"/>
    <cellStyle name="Normal 8 2 9 4 3" xfId="24774"/>
    <cellStyle name="Normal 8 2 9 5" xfId="24775"/>
    <cellStyle name="Normal 8 2 9 5 2" xfId="24776"/>
    <cellStyle name="Normal 8 2 9 5 2 2" xfId="24777"/>
    <cellStyle name="Normal 8 2 9 5 3" xfId="24778"/>
    <cellStyle name="Normal 8 2 9 6" xfId="24779"/>
    <cellStyle name="Normal 8 2 9 6 2" xfId="24780"/>
    <cellStyle name="Normal 8 2 9 7" xfId="24781"/>
    <cellStyle name="Normal 8 2 9 7 2" xfId="37027"/>
    <cellStyle name="Normal 8 2 9 8" xfId="24782"/>
    <cellStyle name="Normal 8 20" xfId="35796"/>
    <cellStyle name="Normal 8 3" xfId="24783"/>
    <cellStyle name="Normal 8 3 10" xfId="24784"/>
    <cellStyle name="Normal 8 3 10 2" xfId="24785"/>
    <cellStyle name="Normal 8 3 10 2 2" xfId="24786"/>
    <cellStyle name="Normal 8 3 10 3" xfId="24787"/>
    <cellStyle name="Normal 8 3 11" xfId="24788"/>
    <cellStyle name="Normal 8 3 11 2" xfId="24789"/>
    <cellStyle name="Normal 8 3 11 2 2" xfId="24790"/>
    <cellStyle name="Normal 8 3 11 3" xfId="24791"/>
    <cellStyle name="Normal 8 3 12" xfId="24792"/>
    <cellStyle name="Normal 8 3 12 2" xfId="24793"/>
    <cellStyle name="Normal 8 3 13" xfId="24794"/>
    <cellStyle name="Normal 8 3 13 2" xfId="37028"/>
    <cellStyle name="Normal 8 3 14" xfId="24795"/>
    <cellStyle name="Normal 8 3 2" xfId="24796"/>
    <cellStyle name="Normal 8 3 2 10" xfId="24797"/>
    <cellStyle name="Normal 8 3 2 2" xfId="24798"/>
    <cellStyle name="Normal 8 3 2 2 2" xfId="24799"/>
    <cellStyle name="Normal 8 3 2 2 2 2" xfId="24800"/>
    <cellStyle name="Normal 8 3 2 2 2 2 2" xfId="24801"/>
    <cellStyle name="Normal 8 3 2 2 2 2 2 2" xfId="24802"/>
    <cellStyle name="Normal 8 3 2 2 2 2 2 2 2" xfId="24803"/>
    <cellStyle name="Normal 8 3 2 2 2 2 2 2 3" xfId="24804"/>
    <cellStyle name="Normal 8 3 2 2 2 2 2 3" xfId="24805"/>
    <cellStyle name="Normal 8 3 2 2 2 2 2 3 2" xfId="24806"/>
    <cellStyle name="Normal 8 3 2 2 2 2 2 4" xfId="24807"/>
    <cellStyle name="Normal 8 3 2 2 2 2 3" xfId="24808"/>
    <cellStyle name="Normal 8 3 2 2 2 2 3 2" xfId="24809"/>
    <cellStyle name="Normal 8 3 2 2 2 2 3 2 2" xfId="24810"/>
    <cellStyle name="Normal 8 3 2 2 2 2 3 3" xfId="24811"/>
    <cellStyle name="Normal 8 3 2 2 2 2 4" xfId="24812"/>
    <cellStyle name="Normal 8 3 2 2 2 2 4 2" xfId="24813"/>
    <cellStyle name="Normal 8 3 2 2 2 2 4 3" xfId="24814"/>
    <cellStyle name="Normal 8 3 2 2 2 2 5" xfId="24815"/>
    <cellStyle name="Normal 8 3 2 2 2 2 5 2" xfId="24816"/>
    <cellStyle name="Normal 8 3 2 2 2 2 6" xfId="24817"/>
    <cellStyle name="Normal 8 3 2 2 2 2 6 2" xfId="37029"/>
    <cellStyle name="Normal 8 3 2 2 2 2 7" xfId="24818"/>
    <cellStyle name="Normal 8 3 2 2 2 3" xfId="24819"/>
    <cellStyle name="Normal 8 3 2 2 2 3 2" xfId="24820"/>
    <cellStyle name="Normal 8 3 2 2 2 3 2 2" xfId="24821"/>
    <cellStyle name="Normal 8 3 2 2 2 3 2 2 2" xfId="24822"/>
    <cellStyle name="Normal 8 3 2 2 2 3 2 3" xfId="24823"/>
    <cellStyle name="Normal 8 3 2 2 2 3 3" xfId="24824"/>
    <cellStyle name="Normal 8 3 2 2 2 3 3 2" xfId="24825"/>
    <cellStyle name="Normal 8 3 2 2 2 3 4" xfId="24826"/>
    <cellStyle name="Normal 8 3 2 2 2 4" xfId="24827"/>
    <cellStyle name="Normal 8 3 2 2 2 4 2" xfId="24828"/>
    <cellStyle name="Normal 8 3 2 2 2 4 2 2" xfId="24829"/>
    <cellStyle name="Normal 8 3 2 2 2 4 3" xfId="24830"/>
    <cellStyle name="Normal 8 3 2 2 2 5" xfId="24831"/>
    <cellStyle name="Normal 8 3 2 2 2 5 2" xfId="24832"/>
    <cellStyle name="Normal 8 3 2 2 2 5 2 2" xfId="24833"/>
    <cellStyle name="Normal 8 3 2 2 2 5 3" xfId="24834"/>
    <cellStyle name="Normal 8 3 2 2 2 6" xfId="24835"/>
    <cellStyle name="Normal 8 3 2 2 2 6 2" xfId="24836"/>
    <cellStyle name="Normal 8 3 2 2 2 7" xfId="24837"/>
    <cellStyle name="Normal 8 3 2 2 2 7 2" xfId="37030"/>
    <cellStyle name="Normal 8 3 2 2 2 8" xfId="24838"/>
    <cellStyle name="Normal 8 3 2 2 3" xfId="24839"/>
    <cellStyle name="Normal 8 3 2 2 3 2" xfId="24840"/>
    <cellStyle name="Normal 8 3 2 2 3 2 2" xfId="24841"/>
    <cellStyle name="Normal 8 3 2 2 3 2 2 2" xfId="24842"/>
    <cellStyle name="Normal 8 3 2 2 3 2 2 3" xfId="24843"/>
    <cellStyle name="Normal 8 3 2 2 3 2 3" xfId="24844"/>
    <cellStyle name="Normal 8 3 2 2 3 2 3 2" xfId="24845"/>
    <cellStyle name="Normal 8 3 2 2 3 2 4" xfId="24846"/>
    <cellStyle name="Normal 8 3 2 2 3 3" xfId="24847"/>
    <cellStyle name="Normal 8 3 2 2 3 3 2" xfId="24848"/>
    <cellStyle name="Normal 8 3 2 2 3 3 2 2" xfId="24849"/>
    <cellStyle name="Normal 8 3 2 2 3 3 3" xfId="24850"/>
    <cellStyle name="Normal 8 3 2 2 3 4" xfId="24851"/>
    <cellStyle name="Normal 8 3 2 2 3 4 2" xfId="24852"/>
    <cellStyle name="Normal 8 3 2 2 3 4 3" xfId="24853"/>
    <cellStyle name="Normal 8 3 2 2 3 5" xfId="24854"/>
    <cellStyle name="Normal 8 3 2 2 3 5 2" xfId="24855"/>
    <cellStyle name="Normal 8 3 2 2 3 6" xfId="24856"/>
    <cellStyle name="Normal 8 3 2 2 3 6 2" xfId="37031"/>
    <cellStyle name="Normal 8 3 2 2 3 7" xfId="24857"/>
    <cellStyle name="Normal 8 3 2 2 4" xfId="24858"/>
    <cellStyle name="Normal 8 3 2 2 4 2" xfId="24859"/>
    <cellStyle name="Normal 8 3 2 2 4 2 2" xfId="24860"/>
    <cellStyle name="Normal 8 3 2 2 4 2 2 2" xfId="24861"/>
    <cellStyle name="Normal 8 3 2 2 4 2 3" xfId="24862"/>
    <cellStyle name="Normal 8 3 2 2 4 3" xfId="24863"/>
    <cellStyle name="Normal 8 3 2 2 4 3 2" xfId="24864"/>
    <cellStyle name="Normal 8 3 2 2 4 4" xfId="24865"/>
    <cellStyle name="Normal 8 3 2 2 5" xfId="24866"/>
    <cellStyle name="Normal 8 3 2 2 5 2" xfId="24867"/>
    <cellStyle name="Normal 8 3 2 2 5 2 2" xfId="24868"/>
    <cellStyle name="Normal 8 3 2 2 5 3" xfId="24869"/>
    <cellStyle name="Normal 8 3 2 2 6" xfId="24870"/>
    <cellStyle name="Normal 8 3 2 2 6 2" xfId="24871"/>
    <cellStyle name="Normal 8 3 2 2 6 2 2" xfId="24872"/>
    <cellStyle name="Normal 8 3 2 2 6 3" xfId="24873"/>
    <cellStyle name="Normal 8 3 2 2 7" xfId="24874"/>
    <cellStyle name="Normal 8 3 2 2 7 2" xfId="24875"/>
    <cellStyle name="Normal 8 3 2 2 8" xfId="24876"/>
    <cellStyle name="Normal 8 3 2 2 8 2" xfId="37032"/>
    <cellStyle name="Normal 8 3 2 2 9" xfId="24877"/>
    <cellStyle name="Normal 8 3 2 3" xfId="24878"/>
    <cellStyle name="Normal 8 3 2 3 2" xfId="24879"/>
    <cellStyle name="Normal 8 3 2 3 2 2" xfId="24880"/>
    <cellStyle name="Normal 8 3 2 3 2 2 2" xfId="24881"/>
    <cellStyle name="Normal 8 3 2 3 2 2 2 2" xfId="24882"/>
    <cellStyle name="Normal 8 3 2 3 2 2 2 3" xfId="24883"/>
    <cellStyle name="Normal 8 3 2 3 2 2 3" xfId="24884"/>
    <cellStyle name="Normal 8 3 2 3 2 2 3 2" xfId="24885"/>
    <cellStyle name="Normal 8 3 2 3 2 2 4" xfId="24886"/>
    <cellStyle name="Normal 8 3 2 3 2 3" xfId="24887"/>
    <cellStyle name="Normal 8 3 2 3 2 3 2" xfId="24888"/>
    <cellStyle name="Normal 8 3 2 3 2 3 2 2" xfId="24889"/>
    <cellStyle name="Normal 8 3 2 3 2 3 3" xfId="24890"/>
    <cellStyle name="Normal 8 3 2 3 2 4" xfId="24891"/>
    <cellStyle name="Normal 8 3 2 3 2 4 2" xfId="24892"/>
    <cellStyle name="Normal 8 3 2 3 2 4 3" xfId="24893"/>
    <cellStyle name="Normal 8 3 2 3 2 5" xfId="24894"/>
    <cellStyle name="Normal 8 3 2 3 2 5 2" xfId="24895"/>
    <cellStyle name="Normal 8 3 2 3 2 6" xfId="24896"/>
    <cellStyle name="Normal 8 3 2 3 2 6 2" xfId="37033"/>
    <cellStyle name="Normal 8 3 2 3 2 7" xfId="24897"/>
    <cellStyle name="Normal 8 3 2 3 3" xfId="24898"/>
    <cellStyle name="Normal 8 3 2 3 3 2" xfId="24899"/>
    <cellStyle name="Normal 8 3 2 3 3 2 2" xfId="24900"/>
    <cellStyle name="Normal 8 3 2 3 3 2 2 2" xfId="24901"/>
    <cellStyle name="Normal 8 3 2 3 3 2 3" xfId="24902"/>
    <cellStyle name="Normal 8 3 2 3 3 3" xfId="24903"/>
    <cellStyle name="Normal 8 3 2 3 3 3 2" xfId="24904"/>
    <cellStyle name="Normal 8 3 2 3 3 4" xfId="24905"/>
    <cellStyle name="Normal 8 3 2 3 4" xfId="24906"/>
    <cellStyle name="Normal 8 3 2 3 4 2" xfId="24907"/>
    <cellStyle name="Normal 8 3 2 3 4 2 2" xfId="24908"/>
    <cellStyle name="Normal 8 3 2 3 4 3" xfId="24909"/>
    <cellStyle name="Normal 8 3 2 3 5" xfId="24910"/>
    <cellStyle name="Normal 8 3 2 3 5 2" xfId="24911"/>
    <cellStyle name="Normal 8 3 2 3 5 2 2" xfId="24912"/>
    <cellStyle name="Normal 8 3 2 3 5 3" xfId="24913"/>
    <cellStyle name="Normal 8 3 2 3 6" xfId="24914"/>
    <cellStyle name="Normal 8 3 2 3 6 2" xfId="24915"/>
    <cellStyle name="Normal 8 3 2 3 7" xfId="24916"/>
    <cellStyle name="Normal 8 3 2 3 7 2" xfId="37034"/>
    <cellStyle name="Normal 8 3 2 3 8" xfId="24917"/>
    <cellStyle name="Normal 8 3 2 4" xfId="24918"/>
    <cellStyle name="Normal 8 3 2 4 2" xfId="24919"/>
    <cellStyle name="Normal 8 3 2 4 2 2" xfId="24920"/>
    <cellStyle name="Normal 8 3 2 4 2 2 2" xfId="24921"/>
    <cellStyle name="Normal 8 3 2 4 2 2 3" xfId="24922"/>
    <cellStyle name="Normal 8 3 2 4 2 3" xfId="24923"/>
    <cellStyle name="Normal 8 3 2 4 2 3 2" xfId="24924"/>
    <cellStyle name="Normal 8 3 2 4 2 4" xfId="24925"/>
    <cellStyle name="Normal 8 3 2 4 3" xfId="24926"/>
    <cellStyle name="Normal 8 3 2 4 3 2" xfId="24927"/>
    <cellStyle name="Normal 8 3 2 4 3 2 2" xfId="24928"/>
    <cellStyle name="Normal 8 3 2 4 3 3" xfId="24929"/>
    <cellStyle name="Normal 8 3 2 4 4" xfId="24930"/>
    <cellStyle name="Normal 8 3 2 4 4 2" xfId="24931"/>
    <cellStyle name="Normal 8 3 2 4 4 3" xfId="24932"/>
    <cellStyle name="Normal 8 3 2 4 5" xfId="24933"/>
    <cellStyle name="Normal 8 3 2 4 5 2" xfId="24934"/>
    <cellStyle name="Normal 8 3 2 4 6" xfId="24935"/>
    <cellStyle name="Normal 8 3 2 4 6 2" xfId="37035"/>
    <cellStyle name="Normal 8 3 2 4 7" xfId="24936"/>
    <cellStyle name="Normal 8 3 2 5" xfId="24937"/>
    <cellStyle name="Normal 8 3 2 5 2" xfId="24938"/>
    <cellStyle name="Normal 8 3 2 5 2 2" xfId="24939"/>
    <cellStyle name="Normal 8 3 2 5 2 2 2" xfId="24940"/>
    <cellStyle name="Normal 8 3 2 5 2 3" xfId="24941"/>
    <cellStyle name="Normal 8 3 2 5 3" xfId="24942"/>
    <cellStyle name="Normal 8 3 2 5 3 2" xfId="24943"/>
    <cellStyle name="Normal 8 3 2 5 4" xfId="24944"/>
    <cellStyle name="Normal 8 3 2 6" xfId="24945"/>
    <cellStyle name="Normal 8 3 2 6 2" xfId="24946"/>
    <cellStyle name="Normal 8 3 2 6 2 2" xfId="24947"/>
    <cellStyle name="Normal 8 3 2 6 3" xfId="24948"/>
    <cellStyle name="Normal 8 3 2 7" xfId="24949"/>
    <cellStyle name="Normal 8 3 2 7 2" xfId="24950"/>
    <cellStyle name="Normal 8 3 2 7 2 2" xfId="24951"/>
    <cellStyle name="Normal 8 3 2 7 3" xfId="24952"/>
    <cellStyle name="Normal 8 3 2 8" xfId="24953"/>
    <cellStyle name="Normal 8 3 2 8 2" xfId="24954"/>
    <cellStyle name="Normal 8 3 2 9" xfId="24955"/>
    <cellStyle name="Normal 8 3 2 9 2" xfId="37036"/>
    <cellStyle name="Normal 8 3 3" xfId="24956"/>
    <cellStyle name="Normal 8 3 3 2" xfId="24957"/>
    <cellStyle name="Normal 8 3 3 2 2" xfId="24958"/>
    <cellStyle name="Normal 8 3 3 2 2 2" xfId="24959"/>
    <cellStyle name="Normal 8 3 3 2 2 2 2" xfId="24960"/>
    <cellStyle name="Normal 8 3 3 2 2 2 2 2" xfId="24961"/>
    <cellStyle name="Normal 8 3 3 2 2 2 2 3" xfId="24962"/>
    <cellStyle name="Normal 8 3 3 2 2 2 3" xfId="24963"/>
    <cellStyle name="Normal 8 3 3 2 2 2 3 2" xfId="24964"/>
    <cellStyle name="Normal 8 3 3 2 2 2 4" xfId="24965"/>
    <cellStyle name="Normal 8 3 3 2 2 3" xfId="24966"/>
    <cellStyle name="Normal 8 3 3 2 2 3 2" xfId="24967"/>
    <cellStyle name="Normal 8 3 3 2 2 3 2 2" xfId="24968"/>
    <cellStyle name="Normal 8 3 3 2 2 3 3" xfId="24969"/>
    <cellStyle name="Normal 8 3 3 2 2 4" xfId="24970"/>
    <cellStyle name="Normal 8 3 3 2 2 4 2" xfId="24971"/>
    <cellStyle name="Normal 8 3 3 2 2 4 3" xfId="24972"/>
    <cellStyle name="Normal 8 3 3 2 2 5" xfId="24973"/>
    <cellStyle name="Normal 8 3 3 2 2 5 2" xfId="24974"/>
    <cellStyle name="Normal 8 3 3 2 2 6" xfId="24975"/>
    <cellStyle name="Normal 8 3 3 2 2 6 2" xfId="37037"/>
    <cellStyle name="Normal 8 3 3 2 2 7" xfId="24976"/>
    <cellStyle name="Normal 8 3 3 2 3" xfId="24977"/>
    <cellStyle name="Normal 8 3 3 2 3 2" xfId="24978"/>
    <cellStyle name="Normal 8 3 3 2 3 2 2" xfId="24979"/>
    <cellStyle name="Normal 8 3 3 2 3 2 2 2" xfId="24980"/>
    <cellStyle name="Normal 8 3 3 2 3 2 3" xfId="24981"/>
    <cellStyle name="Normal 8 3 3 2 3 3" xfId="24982"/>
    <cellStyle name="Normal 8 3 3 2 3 3 2" xfId="24983"/>
    <cellStyle name="Normal 8 3 3 2 3 4" xfId="24984"/>
    <cellStyle name="Normal 8 3 3 2 4" xfId="24985"/>
    <cellStyle name="Normal 8 3 3 2 4 2" xfId="24986"/>
    <cellStyle name="Normal 8 3 3 2 4 2 2" xfId="24987"/>
    <cellStyle name="Normal 8 3 3 2 4 3" xfId="24988"/>
    <cellStyle name="Normal 8 3 3 2 5" xfId="24989"/>
    <cellStyle name="Normal 8 3 3 2 5 2" xfId="24990"/>
    <cellStyle name="Normal 8 3 3 2 5 2 2" xfId="24991"/>
    <cellStyle name="Normal 8 3 3 2 5 3" xfId="24992"/>
    <cellStyle name="Normal 8 3 3 2 6" xfId="24993"/>
    <cellStyle name="Normal 8 3 3 2 6 2" xfId="24994"/>
    <cellStyle name="Normal 8 3 3 2 7" xfId="24995"/>
    <cellStyle name="Normal 8 3 3 2 7 2" xfId="37038"/>
    <cellStyle name="Normal 8 3 3 2 8" xfId="24996"/>
    <cellStyle name="Normal 8 3 3 3" xfId="24997"/>
    <cellStyle name="Normal 8 3 3 3 2" xfId="24998"/>
    <cellStyle name="Normal 8 3 3 3 2 2" xfId="24999"/>
    <cellStyle name="Normal 8 3 3 3 2 2 2" xfId="25000"/>
    <cellStyle name="Normal 8 3 3 3 2 2 3" xfId="25001"/>
    <cellStyle name="Normal 8 3 3 3 2 3" xfId="25002"/>
    <cellStyle name="Normal 8 3 3 3 2 3 2" xfId="25003"/>
    <cellStyle name="Normal 8 3 3 3 2 4" xfId="25004"/>
    <cellStyle name="Normal 8 3 3 3 3" xfId="25005"/>
    <cellStyle name="Normal 8 3 3 3 3 2" xfId="25006"/>
    <cellStyle name="Normal 8 3 3 3 3 2 2" xfId="25007"/>
    <cellStyle name="Normal 8 3 3 3 3 3" xfId="25008"/>
    <cellStyle name="Normal 8 3 3 3 4" xfId="25009"/>
    <cellStyle name="Normal 8 3 3 3 4 2" xfId="25010"/>
    <cellStyle name="Normal 8 3 3 3 4 3" xfId="25011"/>
    <cellStyle name="Normal 8 3 3 3 5" xfId="25012"/>
    <cellStyle name="Normal 8 3 3 3 5 2" xfId="25013"/>
    <cellStyle name="Normal 8 3 3 3 6" xfId="25014"/>
    <cellStyle name="Normal 8 3 3 3 6 2" xfId="37039"/>
    <cellStyle name="Normal 8 3 3 3 7" xfId="25015"/>
    <cellStyle name="Normal 8 3 3 4" xfId="25016"/>
    <cellStyle name="Normal 8 3 3 4 2" xfId="25017"/>
    <cellStyle name="Normal 8 3 3 4 2 2" xfId="25018"/>
    <cellStyle name="Normal 8 3 3 4 2 2 2" xfId="25019"/>
    <cellStyle name="Normal 8 3 3 4 2 3" xfId="25020"/>
    <cellStyle name="Normal 8 3 3 4 3" xfId="25021"/>
    <cellStyle name="Normal 8 3 3 4 3 2" xfId="25022"/>
    <cellStyle name="Normal 8 3 3 4 4" xfId="25023"/>
    <cellStyle name="Normal 8 3 3 5" xfId="25024"/>
    <cellStyle name="Normal 8 3 3 5 2" xfId="25025"/>
    <cellStyle name="Normal 8 3 3 5 2 2" xfId="25026"/>
    <cellStyle name="Normal 8 3 3 5 3" xfId="25027"/>
    <cellStyle name="Normal 8 3 3 6" xfId="25028"/>
    <cellStyle name="Normal 8 3 3 6 2" xfId="25029"/>
    <cellStyle name="Normal 8 3 3 6 2 2" xfId="25030"/>
    <cellStyle name="Normal 8 3 3 6 3" xfId="25031"/>
    <cellStyle name="Normal 8 3 3 7" xfId="25032"/>
    <cellStyle name="Normal 8 3 3 7 2" xfId="25033"/>
    <cellStyle name="Normal 8 3 3 8" xfId="25034"/>
    <cellStyle name="Normal 8 3 3 8 2" xfId="37040"/>
    <cellStyle name="Normal 8 3 3 9" xfId="25035"/>
    <cellStyle name="Normal 8 3 4" xfId="25036"/>
    <cellStyle name="Normal 8 3 4 2" xfId="25037"/>
    <cellStyle name="Normal 8 3 4 2 2" xfId="25038"/>
    <cellStyle name="Normal 8 3 4 2 2 2" xfId="25039"/>
    <cellStyle name="Normal 8 3 4 2 2 2 2" xfId="25040"/>
    <cellStyle name="Normal 8 3 4 2 2 2 2 2" xfId="25041"/>
    <cellStyle name="Normal 8 3 4 2 2 2 2 3" xfId="25042"/>
    <cellStyle name="Normal 8 3 4 2 2 2 3" xfId="25043"/>
    <cellStyle name="Normal 8 3 4 2 2 2 3 2" xfId="25044"/>
    <cellStyle name="Normal 8 3 4 2 2 2 4" xfId="25045"/>
    <cellStyle name="Normal 8 3 4 2 2 3" xfId="25046"/>
    <cellStyle name="Normal 8 3 4 2 2 3 2" xfId="25047"/>
    <cellStyle name="Normal 8 3 4 2 2 3 2 2" xfId="25048"/>
    <cellStyle name="Normal 8 3 4 2 2 3 3" xfId="25049"/>
    <cellStyle name="Normal 8 3 4 2 2 4" xfId="25050"/>
    <cellStyle name="Normal 8 3 4 2 2 4 2" xfId="25051"/>
    <cellStyle name="Normal 8 3 4 2 2 4 3" xfId="25052"/>
    <cellStyle name="Normal 8 3 4 2 2 5" xfId="25053"/>
    <cellStyle name="Normal 8 3 4 2 2 5 2" xfId="25054"/>
    <cellStyle name="Normal 8 3 4 2 2 6" xfId="25055"/>
    <cellStyle name="Normal 8 3 4 2 2 6 2" xfId="37041"/>
    <cellStyle name="Normal 8 3 4 2 2 7" xfId="25056"/>
    <cellStyle name="Normal 8 3 4 2 3" xfId="25057"/>
    <cellStyle name="Normal 8 3 4 2 3 2" xfId="25058"/>
    <cellStyle name="Normal 8 3 4 2 3 2 2" xfId="25059"/>
    <cellStyle name="Normal 8 3 4 2 3 2 2 2" xfId="25060"/>
    <cellStyle name="Normal 8 3 4 2 3 2 3" xfId="25061"/>
    <cellStyle name="Normal 8 3 4 2 3 3" xfId="25062"/>
    <cellStyle name="Normal 8 3 4 2 3 3 2" xfId="25063"/>
    <cellStyle name="Normal 8 3 4 2 3 4" xfId="25064"/>
    <cellStyle name="Normal 8 3 4 2 4" xfId="25065"/>
    <cellStyle name="Normal 8 3 4 2 4 2" xfId="25066"/>
    <cellStyle name="Normal 8 3 4 2 4 2 2" xfId="25067"/>
    <cellStyle name="Normal 8 3 4 2 4 3" xfId="25068"/>
    <cellStyle name="Normal 8 3 4 2 5" xfId="25069"/>
    <cellStyle name="Normal 8 3 4 2 5 2" xfId="25070"/>
    <cellStyle name="Normal 8 3 4 2 5 2 2" xfId="25071"/>
    <cellStyle name="Normal 8 3 4 2 5 3" xfId="25072"/>
    <cellStyle name="Normal 8 3 4 2 6" xfId="25073"/>
    <cellStyle name="Normal 8 3 4 2 6 2" xfId="25074"/>
    <cellStyle name="Normal 8 3 4 2 7" xfId="25075"/>
    <cellStyle name="Normal 8 3 4 2 7 2" xfId="37042"/>
    <cellStyle name="Normal 8 3 4 2 8" xfId="25076"/>
    <cellStyle name="Normal 8 3 4 3" xfId="25077"/>
    <cellStyle name="Normal 8 3 4 3 2" xfId="25078"/>
    <cellStyle name="Normal 8 3 4 3 2 2" xfId="25079"/>
    <cellStyle name="Normal 8 3 4 3 2 2 2" xfId="25080"/>
    <cellStyle name="Normal 8 3 4 3 2 2 3" xfId="25081"/>
    <cellStyle name="Normal 8 3 4 3 2 3" xfId="25082"/>
    <cellStyle name="Normal 8 3 4 3 2 3 2" xfId="25083"/>
    <cellStyle name="Normal 8 3 4 3 2 4" xfId="25084"/>
    <cellStyle name="Normal 8 3 4 3 3" xfId="25085"/>
    <cellStyle name="Normal 8 3 4 3 3 2" xfId="25086"/>
    <cellStyle name="Normal 8 3 4 3 3 2 2" xfId="25087"/>
    <cellStyle name="Normal 8 3 4 3 3 3" xfId="25088"/>
    <cellStyle name="Normal 8 3 4 3 4" xfId="25089"/>
    <cellStyle name="Normal 8 3 4 3 4 2" xfId="25090"/>
    <cellStyle name="Normal 8 3 4 3 4 3" xfId="25091"/>
    <cellStyle name="Normal 8 3 4 3 5" xfId="25092"/>
    <cellStyle name="Normal 8 3 4 3 5 2" xfId="25093"/>
    <cellStyle name="Normal 8 3 4 3 6" xfId="25094"/>
    <cellStyle name="Normal 8 3 4 3 6 2" xfId="37043"/>
    <cellStyle name="Normal 8 3 4 3 7" xfId="25095"/>
    <cellStyle name="Normal 8 3 4 4" xfId="25096"/>
    <cellStyle name="Normal 8 3 4 4 2" xfId="25097"/>
    <cellStyle name="Normal 8 3 4 4 2 2" xfId="25098"/>
    <cellStyle name="Normal 8 3 4 4 2 2 2" xfId="25099"/>
    <cellStyle name="Normal 8 3 4 4 2 3" xfId="25100"/>
    <cellStyle name="Normal 8 3 4 4 3" xfId="25101"/>
    <cellStyle name="Normal 8 3 4 4 3 2" xfId="25102"/>
    <cellStyle name="Normal 8 3 4 4 4" xfId="25103"/>
    <cellStyle name="Normal 8 3 4 5" xfId="25104"/>
    <cellStyle name="Normal 8 3 4 5 2" xfId="25105"/>
    <cellStyle name="Normal 8 3 4 5 2 2" xfId="25106"/>
    <cellStyle name="Normal 8 3 4 5 3" xfId="25107"/>
    <cellStyle name="Normal 8 3 4 6" xfId="25108"/>
    <cellStyle name="Normal 8 3 4 6 2" xfId="25109"/>
    <cellStyle name="Normal 8 3 4 6 2 2" xfId="25110"/>
    <cellStyle name="Normal 8 3 4 6 3" xfId="25111"/>
    <cellStyle name="Normal 8 3 4 7" xfId="25112"/>
    <cellStyle name="Normal 8 3 4 7 2" xfId="25113"/>
    <cellStyle name="Normal 8 3 4 8" xfId="25114"/>
    <cellStyle name="Normal 8 3 4 8 2" xfId="37044"/>
    <cellStyle name="Normal 8 3 4 9" xfId="25115"/>
    <cellStyle name="Normal 8 3 5" xfId="25116"/>
    <cellStyle name="Normal 8 3 5 2" xfId="25117"/>
    <cellStyle name="Normal 8 3 5 2 2" xfId="25118"/>
    <cellStyle name="Normal 8 3 5 2 2 2" xfId="25119"/>
    <cellStyle name="Normal 8 3 5 2 2 2 2" xfId="25120"/>
    <cellStyle name="Normal 8 3 5 2 2 2 3" xfId="25121"/>
    <cellStyle name="Normal 8 3 5 2 2 3" xfId="25122"/>
    <cellStyle name="Normal 8 3 5 2 2 3 2" xfId="25123"/>
    <cellStyle name="Normal 8 3 5 2 2 4" xfId="25124"/>
    <cellStyle name="Normal 8 3 5 2 3" xfId="25125"/>
    <cellStyle name="Normal 8 3 5 2 3 2" xfId="25126"/>
    <cellStyle name="Normal 8 3 5 2 3 2 2" xfId="25127"/>
    <cellStyle name="Normal 8 3 5 2 3 3" xfId="25128"/>
    <cellStyle name="Normal 8 3 5 2 4" xfId="25129"/>
    <cellStyle name="Normal 8 3 5 2 4 2" xfId="25130"/>
    <cellStyle name="Normal 8 3 5 2 4 3" xfId="25131"/>
    <cellStyle name="Normal 8 3 5 2 5" xfId="25132"/>
    <cellStyle name="Normal 8 3 5 2 5 2" xfId="25133"/>
    <cellStyle name="Normal 8 3 5 2 6" xfId="25134"/>
    <cellStyle name="Normal 8 3 5 2 6 2" xfId="37045"/>
    <cellStyle name="Normal 8 3 5 2 7" xfId="25135"/>
    <cellStyle name="Normal 8 3 5 3" xfId="25136"/>
    <cellStyle name="Normal 8 3 5 3 2" xfId="25137"/>
    <cellStyle name="Normal 8 3 5 3 2 2" xfId="25138"/>
    <cellStyle name="Normal 8 3 5 3 2 2 2" xfId="25139"/>
    <cellStyle name="Normal 8 3 5 3 2 3" xfId="25140"/>
    <cellStyle name="Normal 8 3 5 3 3" xfId="25141"/>
    <cellStyle name="Normal 8 3 5 3 3 2" xfId="25142"/>
    <cellStyle name="Normal 8 3 5 3 4" xfId="25143"/>
    <cellStyle name="Normal 8 3 5 4" xfId="25144"/>
    <cellStyle name="Normal 8 3 5 4 2" xfId="25145"/>
    <cellStyle name="Normal 8 3 5 4 2 2" xfId="25146"/>
    <cellStyle name="Normal 8 3 5 4 3" xfId="25147"/>
    <cellStyle name="Normal 8 3 5 5" xfId="25148"/>
    <cellStyle name="Normal 8 3 5 5 2" xfId="25149"/>
    <cellStyle name="Normal 8 3 5 5 2 2" xfId="25150"/>
    <cellStyle name="Normal 8 3 5 5 3" xfId="25151"/>
    <cellStyle name="Normal 8 3 5 6" xfId="25152"/>
    <cellStyle name="Normal 8 3 5 6 2" xfId="25153"/>
    <cellStyle name="Normal 8 3 5 7" xfId="25154"/>
    <cellStyle name="Normal 8 3 5 7 2" xfId="37046"/>
    <cellStyle name="Normal 8 3 5 8" xfId="25155"/>
    <cellStyle name="Normal 8 3 6" xfId="25156"/>
    <cellStyle name="Normal 8 3 6 2" xfId="25157"/>
    <cellStyle name="Normal 8 3 6 2 2" xfId="25158"/>
    <cellStyle name="Normal 8 3 6 2 2 2" xfId="25159"/>
    <cellStyle name="Normal 8 3 6 2 2 2 2" xfId="25160"/>
    <cellStyle name="Normal 8 3 6 2 2 2 3" xfId="25161"/>
    <cellStyle name="Normal 8 3 6 2 2 3" xfId="25162"/>
    <cellStyle name="Normal 8 3 6 2 2 3 2" xfId="25163"/>
    <cellStyle name="Normal 8 3 6 2 2 4" xfId="25164"/>
    <cellStyle name="Normal 8 3 6 2 3" xfId="25165"/>
    <cellStyle name="Normal 8 3 6 2 3 2" xfId="25166"/>
    <cellStyle name="Normal 8 3 6 2 3 2 2" xfId="25167"/>
    <cellStyle name="Normal 8 3 6 2 3 3" xfId="25168"/>
    <cellStyle name="Normal 8 3 6 2 4" xfId="25169"/>
    <cellStyle name="Normal 8 3 6 2 4 2" xfId="25170"/>
    <cellStyle name="Normal 8 3 6 2 4 3" xfId="25171"/>
    <cellStyle name="Normal 8 3 6 2 5" xfId="25172"/>
    <cellStyle name="Normal 8 3 6 2 5 2" xfId="25173"/>
    <cellStyle name="Normal 8 3 6 2 6" xfId="25174"/>
    <cellStyle name="Normal 8 3 6 2 6 2" xfId="37047"/>
    <cellStyle name="Normal 8 3 6 2 7" xfId="25175"/>
    <cellStyle name="Normal 8 3 6 3" xfId="25176"/>
    <cellStyle name="Normal 8 3 6 3 2" xfId="25177"/>
    <cellStyle name="Normal 8 3 6 3 2 2" xfId="25178"/>
    <cellStyle name="Normal 8 3 6 3 2 2 2" xfId="25179"/>
    <cellStyle name="Normal 8 3 6 3 2 3" xfId="25180"/>
    <cellStyle name="Normal 8 3 6 3 3" xfId="25181"/>
    <cellStyle name="Normal 8 3 6 3 3 2" xfId="25182"/>
    <cellStyle name="Normal 8 3 6 3 4" xfId="25183"/>
    <cellStyle name="Normal 8 3 6 4" xfId="25184"/>
    <cellStyle name="Normal 8 3 6 4 2" xfId="25185"/>
    <cellStyle name="Normal 8 3 6 4 2 2" xfId="25186"/>
    <cellStyle name="Normal 8 3 6 4 3" xfId="25187"/>
    <cellStyle name="Normal 8 3 6 5" xfId="25188"/>
    <cellStyle name="Normal 8 3 6 5 2" xfId="25189"/>
    <cellStyle name="Normal 8 3 6 5 2 2" xfId="25190"/>
    <cellStyle name="Normal 8 3 6 5 3" xfId="25191"/>
    <cellStyle name="Normal 8 3 6 6" xfId="25192"/>
    <cellStyle name="Normal 8 3 6 6 2" xfId="25193"/>
    <cellStyle name="Normal 8 3 6 7" xfId="25194"/>
    <cellStyle name="Normal 8 3 6 7 2" xfId="37048"/>
    <cellStyle name="Normal 8 3 6 8" xfId="25195"/>
    <cellStyle name="Normal 8 3 7" xfId="25196"/>
    <cellStyle name="Normal 8 3 7 2" xfId="25197"/>
    <cellStyle name="Normal 8 3 7 2 2" xfId="25198"/>
    <cellStyle name="Normal 8 3 7 2 2 2" xfId="25199"/>
    <cellStyle name="Normal 8 3 7 2 2 2 2" xfId="25200"/>
    <cellStyle name="Normal 8 3 7 2 2 2 3" xfId="25201"/>
    <cellStyle name="Normal 8 3 7 2 2 3" xfId="25202"/>
    <cellStyle name="Normal 8 3 7 2 2 3 2" xfId="25203"/>
    <cellStyle name="Normal 8 3 7 2 2 4" xfId="25204"/>
    <cellStyle name="Normal 8 3 7 2 3" xfId="25205"/>
    <cellStyle name="Normal 8 3 7 2 3 2" xfId="25206"/>
    <cellStyle name="Normal 8 3 7 2 3 2 2" xfId="25207"/>
    <cellStyle name="Normal 8 3 7 2 3 3" xfId="25208"/>
    <cellStyle name="Normal 8 3 7 2 4" xfId="25209"/>
    <cellStyle name="Normal 8 3 7 2 4 2" xfId="25210"/>
    <cellStyle name="Normal 8 3 7 2 4 3" xfId="25211"/>
    <cellStyle name="Normal 8 3 7 2 5" xfId="25212"/>
    <cellStyle name="Normal 8 3 7 2 5 2" xfId="25213"/>
    <cellStyle name="Normal 8 3 7 2 6" xfId="25214"/>
    <cellStyle name="Normal 8 3 7 2 6 2" xfId="37049"/>
    <cellStyle name="Normal 8 3 7 2 7" xfId="25215"/>
    <cellStyle name="Normal 8 3 7 3" xfId="25216"/>
    <cellStyle name="Normal 8 3 7 3 2" xfId="25217"/>
    <cellStyle name="Normal 8 3 7 3 2 2" xfId="25218"/>
    <cellStyle name="Normal 8 3 7 3 2 2 2" xfId="25219"/>
    <cellStyle name="Normal 8 3 7 3 2 3" xfId="25220"/>
    <cellStyle name="Normal 8 3 7 3 3" xfId="25221"/>
    <cellStyle name="Normal 8 3 7 3 3 2" xfId="25222"/>
    <cellStyle name="Normal 8 3 7 3 4" xfId="25223"/>
    <cellStyle name="Normal 8 3 7 4" xfId="25224"/>
    <cellStyle name="Normal 8 3 7 4 2" xfId="25225"/>
    <cellStyle name="Normal 8 3 7 4 2 2" xfId="25226"/>
    <cellStyle name="Normal 8 3 7 4 3" xfId="25227"/>
    <cellStyle name="Normal 8 3 7 5" xfId="25228"/>
    <cellStyle name="Normal 8 3 7 5 2" xfId="25229"/>
    <cellStyle name="Normal 8 3 7 5 2 2" xfId="25230"/>
    <cellStyle name="Normal 8 3 7 5 3" xfId="25231"/>
    <cellStyle name="Normal 8 3 7 6" xfId="25232"/>
    <cellStyle name="Normal 8 3 7 6 2" xfId="25233"/>
    <cellStyle name="Normal 8 3 7 7" xfId="25234"/>
    <cellStyle name="Normal 8 3 7 7 2" xfId="37050"/>
    <cellStyle name="Normal 8 3 7 8" xfId="25235"/>
    <cellStyle name="Normal 8 3 8" xfId="25236"/>
    <cellStyle name="Normal 8 3 8 2" xfId="25237"/>
    <cellStyle name="Normal 8 3 8 2 2" xfId="25238"/>
    <cellStyle name="Normal 8 3 8 2 2 2" xfId="25239"/>
    <cellStyle name="Normal 8 3 8 2 2 3" xfId="25240"/>
    <cellStyle name="Normal 8 3 8 2 3" xfId="25241"/>
    <cellStyle name="Normal 8 3 8 2 3 2" xfId="25242"/>
    <cellStyle name="Normal 8 3 8 2 4" xfId="25243"/>
    <cellStyle name="Normal 8 3 8 3" xfId="25244"/>
    <cellStyle name="Normal 8 3 8 3 2" xfId="25245"/>
    <cellStyle name="Normal 8 3 8 3 2 2" xfId="25246"/>
    <cellStyle name="Normal 8 3 8 3 3" xfId="25247"/>
    <cellStyle name="Normal 8 3 8 4" xfId="25248"/>
    <cellStyle name="Normal 8 3 8 4 2" xfId="25249"/>
    <cellStyle name="Normal 8 3 8 4 3" xfId="25250"/>
    <cellStyle name="Normal 8 3 8 5" xfId="25251"/>
    <cellStyle name="Normal 8 3 8 5 2" xfId="25252"/>
    <cellStyle name="Normal 8 3 8 6" xfId="25253"/>
    <cellStyle name="Normal 8 3 8 6 2" xfId="37051"/>
    <cellStyle name="Normal 8 3 8 7" xfId="25254"/>
    <cellStyle name="Normal 8 3 9" xfId="25255"/>
    <cellStyle name="Normal 8 3 9 2" xfId="25256"/>
    <cellStyle name="Normal 8 3 9 2 2" xfId="25257"/>
    <cellStyle name="Normal 8 3 9 2 2 2" xfId="25258"/>
    <cellStyle name="Normal 8 3 9 2 3" xfId="25259"/>
    <cellStyle name="Normal 8 3 9 3" xfId="25260"/>
    <cellStyle name="Normal 8 3 9 3 2" xfId="25261"/>
    <cellStyle name="Normal 8 3 9 4" xfId="25262"/>
    <cellStyle name="Normal 8 4" xfId="25263"/>
    <cellStyle name="Normal 8 4 10" xfId="25264"/>
    <cellStyle name="Normal 8 4 10 2" xfId="25265"/>
    <cellStyle name="Normal 8 4 10 2 2" xfId="25266"/>
    <cellStyle name="Normal 8 4 10 3" xfId="25267"/>
    <cellStyle name="Normal 8 4 11" xfId="25268"/>
    <cellStyle name="Normal 8 4 11 2" xfId="25269"/>
    <cellStyle name="Normal 8 4 11 2 2" xfId="25270"/>
    <cellStyle name="Normal 8 4 11 3" xfId="25271"/>
    <cellStyle name="Normal 8 4 12" xfId="25272"/>
    <cellStyle name="Normal 8 4 12 2" xfId="25273"/>
    <cellStyle name="Normal 8 4 13" xfId="25274"/>
    <cellStyle name="Normal 8 4 13 2" xfId="37052"/>
    <cellStyle name="Normal 8 4 14" xfId="25275"/>
    <cellStyle name="Normal 8 4 2" xfId="25276"/>
    <cellStyle name="Normal 8 4 2 10" xfId="25277"/>
    <cellStyle name="Normal 8 4 2 2" xfId="25278"/>
    <cellStyle name="Normal 8 4 2 2 2" xfId="25279"/>
    <cellStyle name="Normal 8 4 2 2 2 2" xfId="25280"/>
    <cellStyle name="Normal 8 4 2 2 2 2 2" xfId="25281"/>
    <cellStyle name="Normal 8 4 2 2 2 2 2 2" xfId="25282"/>
    <cellStyle name="Normal 8 4 2 2 2 2 2 2 2" xfId="25283"/>
    <cellStyle name="Normal 8 4 2 2 2 2 2 2 3" xfId="25284"/>
    <cellStyle name="Normal 8 4 2 2 2 2 2 3" xfId="25285"/>
    <cellStyle name="Normal 8 4 2 2 2 2 2 3 2" xfId="25286"/>
    <cellStyle name="Normal 8 4 2 2 2 2 2 4" xfId="25287"/>
    <cellStyle name="Normal 8 4 2 2 2 2 3" xfId="25288"/>
    <cellStyle name="Normal 8 4 2 2 2 2 3 2" xfId="25289"/>
    <cellStyle name="Normal 8 4 2 2 2 2 3 2 2" xfId="25290"/>
    <cellStyle name="Normal 8 4 2 2 2 2 3 3" xfId="25291"/>
    <cellStyle name="Normal 8 4 2 2 2 2 4" xfId="25292"/>
    <cellStyle name="Normal 8 4 2 2 2 2 4 2" xfId="25293"/>
    <cellStyle name="Normal 8 4 2 2 2 2 4 3" xfId="25294"/>
    <cellStyle name="Normal 8 4 2 2 2 2 5" xfId="25295"/>
    <cellStyle name="Normal 8 4 2 2 2 2 5 2" xfId="25296"/>
    <cellStyle name="Normal 8 4 2 2 2 2 6" xfId="25297"/>
    <cellStyle name="Normal 8 4 2 2 2 2 6 2" xfId="37053"/>
    <cellStyle name="Normal 8 4 2 2 2 2 7" xfId="25298"/>
    <cellStyle name="Normal 8 4 2 2 2 3" xfId="25299"/>
    <cellStyle name="Normal 8 4 2 2 2 3 2" xfId="25300"/>
    <cellStyle name="Normal 8 4 2 2 2 3 2 2" xfId="25301"/>
    <cellStyle name="Normal 8 4 2 2 2 3 2 2 2" xfId="25302"/>
    <cellStyle name="Normal 8 4 2 2 2 3 2 3" xfId="25303"/>
    <cellStyle name="Normal 8 4 2 2 2 3 3" xfId="25304"/>
    <cellStyle name="Normal 8 4 2 2 2 3 3 2" xfId="25305"/>
    <cellStyle name="Normal 8 4 2 2 2 3 4" xfId="25306"/>
    <cellStyle name="Normal 8 4 2 2 2 4" xfId="25307"/>
    <cellStyle name="Normal 8 4 2 2 2 4 2" xfId="25308"/>
    <cellStyle name="Normal 8 4 2 2 2 4 2 2" xfId="25309"/>
    <cellStyle name="Normal 8 4 2 2 2 4 3" xfId="25310"/>
    <cellStyle name="Normal 8 4 2 2 2 5" xfId="25311"/>
    <cellStyle name="Normal 8 4 2 2 2 5 2" xfId="25312"/>
    <cellStyle name="Normal 8 4 2 2 2 5 2 2" xfId="25313"/>
    <cellStyle name="Normal 8 4 2 2 2 5 3" xfId="25314"/>
    <cellStyle name="Normal 8 4 2 2 2 6" xfId="25315"/>
    <cellStyle name="Normal 8 4 2 2 2 6 2" xfId="25316"/>
    <cellStyle name="Normal 8 4 2 2 2 7" xfId="25317"/>
    <cellStyle name="Normal 8 4 2 2 2 7 2" xfId="37054"/>
    <cellStyle name="Normal 8 4 2 2 2 8" xfId="25318"/>
    <cellStyle name="Normal 8 4 2 2 3" xfId="25319"/>
    <cellStyle name="Normal 8 4 2 2 3 2" xfId="25320"/>
    <cellStyle name="Normal 8 4 2 2 3 2 2" xfId="25321"/>
    <cellStyle name="Normal 8 4 2 2 3 2 2 2" xfId="25322"/>
    <cellStyle name="Normal 8 4 2 2 3 2 2 3" xfId="25323"/>
    <cellStyle name="Normal 8 4 2 2 3 2 3" xfId="25324"/>
    <cellStyle name="Normal 8 4 2 2 3 2 3 2" xfId="25325"/>
    <cellStyle name="Normal 8 4 2 2 3 2 4" xfId="25326"/>
    <cellStyle name="Normal 8 4 2 2 3 3" xfId="25327"/>
    <cellStyle name="Normal 8 4 2 2 3 3 2" xfId="25328"/>
    <cellStyle name="Normal 8 4 2 2 3 3 2 2" xfId="25329"/>
    <cellStyle name="Normal 8 4 2 2 3 3 3" xfId="25330"/>
    <cellStyle name="Normal 8 4 2 2 3 4" xfId="25331"/>
    <cellStyle name="Normal 8 4 2 2 3 4 2" xfId="25332"/>
    <cellStyle name="Normal 8 4 2 2 3 4 3" xfId="25333"/>
    <cellStyle name="Normal 8 4 2 2 3 5" xfId="25334"/>
    <cellStyle name="Normal 8 4 2 2 3 5 2" xfId="25335"/>
    <cellStyle name="Normal 8 4 2 2 3 6" xfId="25336"/>
    <cellStyle name="Normal 8 4 2 2 3 6 2" xfId="37055"/>
    <cellStyle name="Normal 8 4 2 2 3 7" xfId="25337"/>
    <cellStyle name="Normal 8 4 2 2 4" xfId="25338"/>
    <cellStyle name="Normal 8 4 2 2 4 2" xfId="25339"/>
    <cellStyle name="Normal 8 4 2 2 4 2 2" xfId="25340"/>
    <cellStyle name="Normal 8 4 2 2 4 2 2 2" xfId="25341"/>
    <cellStyle name="Normal 8 4 2 2 4 2 3" xfId="25342"/>
    <cellStyle name="Normal 8 4 2 2 4 3" xfId="25343"/>
    <cellStyle name="Normal 8 4 2 2 4 3 2" xfId="25344"/>
    <cellStyle name="Normal 8 4 2 2 4 4" xfId="25345"/>
    <cellStyle name="Normal 8 4 2 2 5" xfId="25346"/>
    <cellStyle name="Normal 8 4 2 2 5 2" xfId="25347"/>
    <cellStyle name="Normal 8 4 2 2 5 2 2" xfId="25348"/>
    <cellStyle name="Normal 8 4 2 2 5 3" xfId="25349"/>
    <cellStyle name="Normal 8 4 2 2 6" xfId="25350"/>
    <cellStyle name="Normal 8 4 2 2 6 2" xfId="25351"/>
    <cellStyle name="Normal 8 4 2 2 6 2 2" xfId="25352"/>
    <cellStyle name="Normal 8 4 2 2 6 3" xfId="25353"/>
    <cellStyle name="Normal 8 4 2 2 7" xfId="25354"/>
    <cellStyle name="Normal 8 4 2 2 7 2" xfId="25355"/>
    <cellStyle name="Normal 8 4 2 2 8" xfId="25356"/>
    <cellStyle name="Normal 8 4 2 2 8 2" xfId="37056"/>
    <cellStyle name="Normal 8 4 2 2 9" xfId="25357"/>
    <cellStyle name="Normal 8 4 2 3" xfId="25358"/>
    <cellStyle name="Normal 8 4 2 3 2" xfId="25359"/>
    <cellStyle name="Normal 8 4 2 3 2 2" xfId="25360"/>
    <cellStyle name="Normal 8 4 2 3 2 2 2" xfId="25361"/>
    <cellStyle name="Normal 8 4 2 3 2 2 2 2" xfId="25362"/>
    <cellStyle name="Normal 8 4 2 3 2 2 2 3" xfId="25363"/>
    <cellStyle name="Normal 8 4 2 3 2 2 3" xfId="25364"/>
    <cellStyle name="Normal 8 4 2 3 2 2 3 2" xfId="25365"/>
    <cellStyle name="Normal 8 4 2 3 2 2 4" xfId="25366"/>
    <cellStyle name="Normal 8 4 2 3 2 3" xfId="25367"/>
    <cellStyle name="Normal 8 4 2 3 2 3 2" xfId="25368"/>
    <cellStyle name="Normal 8 4 2 3 2 3 2 2" xfId="25369"/>
    <cellStyle name="Normal 8 4 2 3 2 3 3" xfId="25370"/>
    <cellStyle name="Normal 8 4 2 3 2 4" xfId="25371"/>
    <cellStyle name="Normal 8 4 2 3 2 4 2" xfId="25372"/>
    <cellStyle name="Normal 8 4 2 3 2 4 3" xfId="25373"/>
    <cellStyle name="Normal 8 4 2 3 2 5" xfId="25374"/>
    <cellStyle name="Normal 8 4 2 3 2 5 2" xfId="25375"/>
    <cellStyle name="Normal 8 4 2 3 2 6" xfId="25376"/>
    <cellStyle name="Normal 8 4 2 3 2 6 2" xfId="37057"/>
    <cellStyle name="Normal 8 4 2 3 2 7" xfId="25377"/>
    <cellStyle name="Normal 8 4 2 3 3" xfId="25378"/>
    <cellStyle name="Normal 8 4 2 3 3 2" xfId="25379"/>
    <cellStyle name="Normal 8 4 2 3 3 2 2" xfId="25380"/>
    <cellStyle name="Normal 8 4 2 3 3 2 2 2" xfId="25381"/>
    <cellStyle name="Normal 8 4 2 3 3 2 3" xfId="25382"/>
    <cellStyle name="Normal 8 4 2 3 3 3" xfId="25383"/>
    <cellStyle name="Normal 8 4 2 3 3 3 2" xfId="25384"/>
    <cellStyle name="Normal 8 4 2 3 3 4" xfId="25385"/>
    <cellStyle name="Normal 8 4 2 3 4" xfId="25386"/>
    <cellStyle name="Normal 8 4 2 3 4 2" xfId="25387"/>
    <cellStyle name="Normal 8 4 2 3 4 2 2" xfId="25388"/>
    <cellStyle name="Normal 8 4 2 3 4 3" xfId="25389"/>
    <cellStyle name="Normal 8 4 2 3 5" xfId="25390"/>
    <cellStyle name="Normal 8 4 2 3 5 2" xfId="25391"/>
    <cellStyle name="Normal 8 4 2 3 5 2 2" xfId="25392"/>
    <cellStyle name="Normal 8 4 2 3 5 3" xfId="25393"/>
    <cellStyle name="Normal 8 4 2 3 6" xfId="25394"/>
    <cellStyle name="Normal 8 4 2 3 6 2" xfId="25395"/>
    <cellStyle name="Normal 8 4 2 3 7" xfId="25396"/>
    <cellStyle name="Normal 8 4 2 3 7 2" xfId="37058"/>
    <cellStyle name="Normal 8 4 2 3 8" xfId="25397"/>
    <cellStyle name="Normal 8 4 2 4" xfId="25398"/>
    <cellStyle name="Normal 8 4 2 4 2" xfId="25399"/>
    <cellStyle name="Normal 8 4 2 4 2 2" xfId="25400"/>
    <cellStyle name="Normal 8 4 2 4 2 2 2" xfId="25401"/>
    <cellStyle name="Normal 8 4 2 4 2 2 3" xfId="25402"/>
    <cellStyle name="Normal 8 4 2 4 2 3" xfId="25403"/>
    <cellStyle name="Normal 8 4 2 4 2 3 2" xfId="25404"/>
    <cellStyle name="Normal 8 4 2 4 2 4" xfId="25405"/>
    <cellStyle name="Normal 8 4 2 4 3" xfId="25406"/>
    <cellStyle name="Normal 8 4 2 4 3 2" xfId="25407"/>
    <cellStyle name="Normal 8 4 2 4 3 2 2" xfId="25408"/>
    <cellStyle name="Normal 8 4 2 4 3 3" xfId="25409"/>
    <cellStyle name="Normal 8 4 2 4 4" xfId="25410"/>
    <cellStyle name="Normal 8 4 2 4 4 2" xfId="25411"/>
    <cellStyle name="Normal 8 4 2 4 4 3" xfId="25412"/>
    <cellStyle name="Normal 8 4 2 4 5" xfId="25413"/>
    <cellStyle name="Normal 8 4 2 4 5 2" xfId="25414"/>
    <cellStyle name="Normal 8 4 2 4 6" xfId="25415"/>
    <cellStyle name="Normal 8 4 2 4 6 2" xfId="37059"/>
    <cellStyle name="Normal 8 4 2 4 7" xfId="25416"/>
    <cellStyle name="Normal 8 4 2 5" xfId="25417"/>
    <cellStyle name="Normal 8 4 2 5 2" xfId="25418"/>
    <cellStyle name="Normal 8 4 2 5 2 2" xfId="25419"/>
    <cellStyle name="Normal 8 4 2 5 2 2 2" xfId="25420"/>
    <cellStyle name="Normal 8 4 2 5 2 3" xfId="25421"/>
    <cellStyle name="Normal 8 4 2 5 3" xfId="25422"/>
    <cellStyle name="Normal 8 4 2 5 3 2" xfId="25423"/>
    <cellStyle name="Normal 8 4 2 5 4" xfId="25424"/>
    <cellStyle name="Normal 8 4 2 6" xfId="25425"/>
    <cellStyle name="Normal 8 4 2 6 2" xfId="25426"/>
    <cellStyle name="Normal 8 4 2 6 2 2" xfId="25427"/>
    <cellStyle name="Normal 8 4 2 6 3" xfId="25428"/>
    <cellStyle name="Normal 8 4 2 7" xfId="25429"/>
    <cellStyle name="Normal 8 4 2 7 2" xfId="25430"/>
    <cellStyle name="Normal 8 4 2 7 2 2" xfId="25431"/>
    <cellStyle name="Normal 8 4 2 7 3" xfId="25432"/>
    <cellStyle name="Normal 8 4 2 8" xfId="25433"/>
    <cellStyle name="Normal 8 4 2 8 2" xfId="25434"/>
    <cellStyle name="Normal 8 4 2 9" xfId="25435"/>
    <cellStyle name="Normal 8 4 2 9 2" xfId="37060"/>
    <cellStyle name="Normal 8 4 3" xfId="25436"/>
    <cellStyle name="Normal 8 4 3 2" xfId="25437"/>
    <cellStyle name="Normal 8 4 3 2 2" xfId="25438"/>
    <cellStyle name="Normal 8 4 3 2 2 2" xfId="25439"/>
    <cellStyle name="Normal 8 4 3 2 2 2 2" xfId="25440"/>
    <cellStyle name="Normal 8 4 3 2 2 2 2 2" xfId="25441"/>
    <cellStyle name="Normal 8 4 3 2 2 2 2 3" xfId="25442"/>
    <cellStyle name="Normal 8 4 3 2 2 2 3" xfId="25443"/>
    <cellStyle name="Normal 8 4 3 2 2 2 3 2" xfId="25444"/>
    <cellStyle name="Normal 8 4 3 2 2 2 4" xfId="25445"/>
    <cellStyle name="Normal 8 4 3 2 2 3" xfId="25446"/>
    <cellStyle name="Normal 8 4 3 2 2 3 2" xfId="25447"/>
    <cellStyle name="Normal 8 4 3 2 2 3 2 2" xfId="25448"/>
    <cellStyle name="Normal 8 4 3 2 2 3 3" xfId="25449"/>
    <cellStyle name="Normal 8 4 3 2 2 4" xfId="25450"/>
    <cellStyle name="Normal 8 4 3 2 2 4 2" xfId="25451"/>
    <cellStyle name="Normal 8 4 3 2 2 4 3" xfId="25452"/>
    <cellStyle name="Normal 8 4 3 2 2 5" xfId="25453"/>
    <cellStyle name="Normal 8 4 3 2 2 5 2" xfId="25454"/>
    <cellStyle name="Normal 8 4 3 2 2 6" xfId="25455"/>
    <cellStyle name="Normal 8 4 3 2 2 6 2" xfId="37061"/>
    <cellStyle name="Normal 8 4 3 2 2 7" xfId="25456"/>
    <cellStyle name="Normal 8 4 3 2 3" xfId="25457"/>
    <cellStyle name="Normal 8 4 3 2 3 2" xfId="25458"/>
    <cellStyle name="Normal 8 4 3 2 3 2 2" xfId="25459"/>
    <cellStyle name="Normal 8 4 3 2 3 2 2 2" xfId="25460"/>
    <cellStyle name="Normal 8 4 3 2 3 2 3" xfId="25461"/>
    <cellStyle name="Normal 8 4 3 2 3 3" xfId="25462"/>
    <cellStyle name="Normal 8 4 3 2 3 3 2" xfId="25463"/>
    <cellStyle name="Normal 8 4 3 2 3 4" xfId="25464"/>
    <cellStyle name="Normal 8 4 3 2 4" xfId="25465"/>
    <cellStyle name="Normal 8 4 3 2 4 2" xfId="25466"/>
    <cellStyle name="Normal 8 4 3 2 4 2 2" xfId="25467"/>
    <cellStyle name="Normal 8 4 3 2 4 3" xfId="25468"/>
    <cellStyle name="Normal 8 4 3 2 5" xfId="25469"/>
    <cellStyle name="Normal 8 4 3 2 5 2" xfId="25470"/>
    <cellStyle name="Normal 8 4 3 2 5 2 2" xfId="25471"/>
    <cellStyle name="Normal 8 4 3 2 5 3" xfId="25472"/>
    <cellStyle name="Normal 8 4 3 2 6" xfId="25473"/>
    <cellStyle name="Normal 8 4 3 2 6 2" xfId="25474"/>
    <cellStyle name="Normal 8 4 3 2 7" xfId="25475"/>
    <cellStyle name="Normal 8 4 3 2 7 2" xfId="37062"/>
    <cellStyle name="Normal 8 4 3 2 8" xfId="25476"/>
    <cellStyle name="Normal 8 4 3 3" xfId="25477"/>
    <cellStyle name="Normal 8 4 3 3 2" xfId="25478"/>
    <cellStyle name="Normal 8 4 3 3 2 2" xfId="25479"/>
    <cellStyle name="Normal 8 4 3 3 2 2 2" xfId="25480"/>
    <cellStyle name="Normal 8 4 3 3 2 2 3" xfId="25481"/>
    <cellStyle name="Normal 8 4 3 3 2 3" xfId="25482"/>
    <cellStyle name="Normal 8 4 3 3 2 3 2" xfId="25483"/>
    <cellStyle name="Normal 8 4 3 3 2 4" xfId="25484"/>
    <cellStyle name="Normal 8 4 3 3 3" xfId="25485"/>
    <cellStyle name="Normal 8 4 3 3 3 2" xfId="25486"/>
    <cellStyle name="Normal 8 4 3 3 3 2 2" xfId="25487"/>
    <cellStyle name="Normal 8 4 3 3 3 3" xfId="25488"/>
    <cellStyle name="Normal 8 4 3 3 4" xfId="25489"/>
    <cellStyle name="Normal 8 4 3 3 4 2" xfId="25490"/>
    <cellStyle name="Normal 8 4 3 3 4 3" xfId="25491"/>
    <cellStyle name="Normal 8 4 3 3 5" xfId="25492"/>
    <cellStyle name="Normal 8 4 3 3 5 2" xfId="25493"/>
    <cellStyle name="Normal 8 4 3 3 6" xfId="25494"/>
    <cellStyle name="Normal 8 4 3 3 6 2" xfId="37063"/>
    <cellStyle name="Normal 8 4 3 3 7" xfId="25495"/>
    <cellStyle name="Normal 8 4 3 4" xfId="25496"/>
    <cellStyle name="Normal 8 4 3 4 2" xfId="25497"/>
    <cellStyle name="Normal 8 4 3 4 2 2" xfId="25498"/>
    <cellStyle name="Normal 8 4 3 4 2 2 2" xfId="25499"/>
    <cellStyle name="Normal 8 4 3 4 2 3" xfId="25500"/>
    <cellStyle name="Normal 8 4 3 4 3" xfId="25501"/>
    <cellStyle name="Normal 8 4 3 4 3 2" xfId="25502"/>
    <cellStyle name="Normal 8 4 3 4 4" xfId="25503"/>
    <cellStyle name="Normal 8 4 3 5" xfId="25504"/>
    <cellStyle name="Normal 8 4 3 5 2" xfId="25505"/>
    <cellStyle name="Normal 8 4 3 5 2 2" xfId="25506"/>
    <cellStyle name="Normal 8 4 3 5 3" xfId="25507"/>
    <cellStyle name="Normal 8 4 3 6" xfId="25508"/>
    <cellStyle name="Normal 8 4 3 6 2" xfId="25509"/>
    <cellStyle name="Normal 8 4 3 6 2 2" xfId="25510"/>
    <cellStyle name="Normal 8 4 3 6 3" xfId="25511"/>
    <cellStyle name="Normal 8 4 3 7" xfId="25512"/>
    <cellStyle name="Normal 8 4 3 7 2" xfId="25513"/>
    <cellStyle name="Normal 8 4 3 8" xfId="25514"/>
    <cellStyle name="Normal 8 4 3 8 2" xfId="37064"/>
    <cellStyle name="Normal 8 4 3 9" xfId="25515"/>
    <cellStyle name="Normal 8 4 4" xfId="25516"/>
    <cellStyle name="Normal 8 4 4 2" xfId="25517"/>
    <cellStyle name="Normal 8 4 4 2 2" xfId="25518"/>
    <cellStyle name="Normal 8 4 4 2 2 2" xfId="25519"/>
    <cellStyle name="Normal 8 4 4 2 2 2 2" xfId="25520"/>
    <cellStyle name="Normal 8 4 4 2 2 2 2 2" xfId="25521"/>
    <cellStyle name="Normal 8 4 4 2 2 2 2 3" xfId="25522"/>
    <cellStyle name="Normal 8 4 4 2 2 2 3" xfId="25523"/>
    <cellStyle name="Normal 8 4 4 2 2 2 3 2" xfId="25524"/>
    <cellStyle name="Normal 8 4 4 2 2 2 4" xfId="25525"/>
    <cellStyle name="Normal 8 4 4 2 2 3" xfId="25526"/>
    <cellStyle name="Normal 8 4 4 2 2 3 2" xfId="25527"/>
    <cellStyle name="Normal 8 4 4 2 2 3 2 2" xfId="25528"/>
    <cellStyle name="Normal 8 4 4 2 2 3 3" xfId="25529"/>
    <cellStyle name="Normal 8 4 4 2 2 4" xfId="25530"/>
    <cellStyle name="Normal 8 4 4 2 2 4 2" xfId="25531"/>
    <cellStyle name="Normal 8 4 4 2 2 4 3" xfId="25532"/>
    <cellStyle name="Normal 8 4 4 2 2 5" xfId="25533"/>
    <cellStyle name="Normal 8 4 4 2 2 5 2" xfId="25534"/>
    <cellStyle name="Normal 8 4 4 2 2 6" xfId="25535"/>
    <cellStyle name="Normal 8 4 4 2 2 6 2" xfId="37065"/>
    <cellStyle name="Normal 8 4 4 2 2 7" xfId="25536"/>
    <cellStyle name="Normal 8 4 4 2 3" xfId="25537"/>
    <cellStyle name="Normal 8 4 4 2 3 2" xfId="25538"/>
    <cellStyle name="Normal 8 4 4 2 3 2 2" xfId="25539"/>
    <cellStyle name="Normal 8 4 4 2 3 2 2 2" xfId="25540"/>
    <cellStyle name="Normal 8 4 4 2 3 2 3" xfId="25541"/>
    <cellStyle name="Normal 8 4 4 2 3 3" xfId="25542"/>
    <cellStyle name="Normal 8 4 4 2 3 3 2" xfId="25543"/>
    <cellStyle name="Normal 8 4 4 2 3 4" xfId="25544"/>
    <cellStyle name="Normal 8 4 4 2 4" xfId="25545"/>
    <cellStyle name="Normal 8 4 4 2 4 2" xfId="25546"/>
    <cellStyle name="Normal 8 4 4 2 4 2 2" xfId="25547"/>
    <cellStyle name="Normal 8 4 4 2 4 3" xfId="25548"/>
    <cellStyle name="Normal 8 4 4 2 5" xfId="25549"/>
    <cellStyle name="Normal 8 4 4 2 5 2" xfId="25550"/>
    <cellStyle name="Normal 8 4 4 2 5 2 2" xfId="25551"/>
    <cellStyle name="Normal 8 4 4 2 5 3" xfId="25552"/>
    <cellStyle name="Normal 8 4 4 2 6" xfId="25553"/>
    <cellStyle name="Normal 8 4 4 2 6 2" xfId="25554"/>
    <cellStyle name="Normal 8 4 4 2 7" xfId="25555"/>
    <cellStyle name="Normal 8 4 4 2 7 2" xfId="37066"/>
    <cellStyle name="Normal 8 4 4 2 8" xfId="25556"/>
    <cellStyle name="Normal 8 4 4 3" xfId="25557"/>
    <cellStyle name="Normal 8 4 4 3 2" xfId="25558"/>
    <cellStyle name="Normal 8 4 4 3 2 2" xfId="25559"/>
    <cellStyle name="Normal 8 4 4 3 2 2 2" xfId="25560"/>
    <cellStyle name="Normal 8 4 4 3 2 2 3" xfId="25561"/>
    <cellStyle name="Normal 8 4 4 3 2 3" xfId="25562"/>
    <cellStyle name="Normal 8 4 4 3 2 3 2" xfId="25563"/>
    <cellStyle name="Normal 8 4 4 3 2 4" xfId="25564"/>
    <cellStyle name="Normal 8 4 4 3 3" xfId="25565"/>
    <cellStyle name="Normal 8 4 4 3 3 2" xfId="25566"/>
    <cellStyle name="Normal 8 4 4 3 3 2 2" xfId="25567"/>
    <cellStyle name="Normal 8 4 4 3 3 3" xfId="25568"/>
    <cellStyle name="Normal 8 4 4 3 4" xfId="25569"/>
    <cellStyle name="Normal 8 4 4 3 4 2" xfId="25570"/>
    <cellStyle name="Normal 8 4 4 3 4 3" xfId="25571"/>
    <cellStyle name="Normal 8 4 4 3 5" xfId="25572"/>
    <cellStyle name="Normal 8 4 4 3 5 2" xfId="25573"/>
    <cellStyle name="Normal 8 4 4 3 6" xfId="25574"/>
    <cellStyle name="Normal 8 4 4 3 6 2" xfId="37067"/>
    <cellStyle name="Normal 8 4 4 3 7" xfId="25575"/>
    <cellStyle name="Normal 8 4 4 4" xfId="25576"/>
    <cellStyle name="Normal 8 4 4 4 2" xfId="25577"/>
    <cellStyle name="Normal 8 4 4 4 2 2" xfId="25578"/>
    <cellStyle name="Normal 8 4 4 4 2 2 2" xfId="25579"/>
    <cellStyle name="Normal 8 4 4 4 2 3" xfId="25580"/>
    <cellStyle name="Normal 8 4 4 4 3" xfId="25581"/>
    <cellStyle name="Normal 8 4 4 4 3 2" xfId="25582"/>
    <cellStyle name="Normal 8 4 4 4 4" xfId="25583"/>
    <cellStyle name="Normal 8 4 4 5" xfId="25584"/>
    <cellStyle name="Normal 8 4 4 5 2" xfId="25585"/>
    <cellStyle name="Normal 8 4 4 5 2 2" xfId="25586"/>
    <cellStyle name="Normal 8 4 4 5 3" xfId="25587"/>
    <cellStyle name="Normal 8 4 4 6" xfId="25588"/>
    <cellStyle name="Normal 8 4 4 6 2" xfId="25589"/>
    <cellStyle name="Normal 8 4 4 6 2 2" xfId="25590"/>
    <cellStyle name="Normal 8 4 4 6 3" xfId="25591"/>
    <cellStyle name="Normal 8 4 4 7" xfId="25592"/>
    <cellStyle name="Normal 8 4 4 7 2" xfId="25593"/>
    <cellStyle name="Normal 8 4 4 8" xfId="25594"/>
    <cellStyle name="Normal 8 4 4 8 2" xfId="37068"/>
    <cellStyle name="Normal 8 4 4 9" xfId="25595"/>
    <cellStyle name="Normal 8 4 5" xfId="25596"/>
    <cellStyle name="Normal 8 4 5 2" xfId="25597"/>
    <cellStyle name="Normal 8 4 5 2 2" xfId="25598"/>
    <cellStyle name="Normal 8 4 5 2 2 2" xfId="25599"/>
    <cellStyle name="Normal 8 4 5 2 2 2 2" xfId="25600"/>
    <cellStyle name="Normal 8 4 5 2 2 2 3" xfId="25601"/>
    <cellStyle name="Normal 8 4 5 2 2 3" xfId="25602"/>
    <cellStyle name="Normal 8 4 5 2 2 3 2" xfId="25603"/>
    <cellStyle name="Normal 8 4 5 2 2 4" xfId="25604"/>
    <cellStyle name="Normal 8 4 5 2 3" xfId="25605"/>
    <cellStyle name="Normal 8 4 5 2 3 2" xfId="25606"/>
    <cellStyle name="Normal 8 4 5 2 3 2 2" xfId="25607"/>
    <cellStyle name="Normal 8 4 5 2 3 3" xfId="25608"/>
    <cellStyle name="Normal 8 4 5 2 4" xfId="25609"/>
    <cellStyle name="Normal 8 4 5 2 4 2" xfId="25610"/>
    <cellStyle name="Normal 8 4 5 2 4 3" xfId="25611"/>
    <cellStyle name="Normal 8 4 5 2 5" xfId="25612"/>
    <cellStyle name="Normal 8 4 5 2 5 2" xfId="25613"/>
    <cellStyle name="Normal 8 4 5 2 6" xfId="25614"/>
    <cellStyle name="Normal 8 4 5 2 6 2" xfId="37069"/>
    <cellStyle name="Normal 8 4 5 2 7" xfId="25615"/>
    <cellStyle name="Normal 8 4 5 3" xfId="25616"/>
    <cellStyle name="Normal 8 4 5 3 2" xfId="25617"/>
    <cellStyle name="Normal 8 4 5 3 2 2" xfId="25618"/>
    <cellStyle name="Normal 8 4 5 3 2 2 2" xfId="25619"/>
    <cellStyle name="Normal 8 4 5 3 2 3" xfId="25620"/>
    <cellStyle name="Normal 8 4 5 3 3" xfId="25621"/>
    <cellStyle name="Normal 8 4 5 3 3 2" xfId="25622"/>
    <cellStyle name="Normal 8 4 5 3 4" xfId="25623"/>
    <cellStyle name="Normal 8 4 5 4" xfId="25624"/>
    <cellStyle name="Normal 8 4 5 4 2" xfId="25625"/>
    <cellStyle name="Normal 8 4 5 4 2 2" xfId="25626"/>
    <cellStyle name="Normal 8 4 5 4 3" xfId="25627"/>
    <cellStyle name="Normal 8 4 5 5" xfId="25628"/>
    <cellStyle name="Normal 8 4 5 5 2" xfId="25629"/>
    <cellStyle name="Normal 8 4 5 5 2 2" xfId="25630"/>
    <cellStyle name="Normal 8 4 5 5 3" xfId="25631"/>
    <cellStyle name="Normal 8 4 5 6" xfId="25632"/>
    <cellStyle name="Normal 8 4 5 6 2" xfId="25633"/>
    <cellStyle name="Normal 8 4 5 7" xfId="25634"/>
    <cellStyle name="Normal 8 4 5 7 2" xfId="37070"/>
    <cellStyle name="Normal 8 4 5 8" xfId="25635"/>
    <cellStyle name="Normal 8 4 6" xfId="25636"/>
    <cellStyle name="Normal 8 4 6 2" xfId="25637"/>
    <cellStyle name="Normal 8 4 6 2 2" xfId="25638"/>
    <cellStyle name="Normal 8 4 6 2 2 2" xfId="25639"/>
    <cellStyle name="Normal 8 4 6 2 2 2 2" xfId="25640"/>
    <cellStyle name="Normal 8 4 6 2 2 2 3" xfId="25641"/>
    <cellStyle name="Normal 8 4 6 2 2 3" xfId="25642"/>
    <cellStyle name="Normal 8 4 6 2 2 3 2" xfId="25643"/>
    <cellStyle name="Normal 8 4 6 2 2 4" xfId="25644"/>
    <cellStyle name="Normal 8 4 6 2 3" xfId="25645"/>
    <cellStyle name="Normal 8 4 6 2 3 2" xfId="25646"/>
    <cellStyle name="Normal 8 4 6 2 3 2 2" xfId="25647"/>
    <cellStyle name="Normal 8 4 6 2 3 3" xfId="25648"/>
    <cellStyle name="Normal 8 4 6 2 4" xfId="25649"/>
    <cellStyle name="Normal 8 4 6 2 4 2" xfId="25650"/>
    <cellStyle name="Normal 8 4 6 2 4 3" xfId="25651"/>
    <cellStyle name="Normal 8 4 6 2 5" xfId="25652"/>
    <cellStyle name="Normal 8 4 6 2 5 2" xfId="25653"/>
    <cellStyle name="Normal 8 4 6 2 6" xfId="25654"/>
    <cellStyle name="Normal 8 4 6 2 6 2" xfId="37071"/>
    <cellStyle name="Normal 8 4 6 2 7" xfId="25655"/>
    <cellStyle name="Normal 8 4 6 3" xfId="25656"/>
    <cellStyle name="Normal 8 4 6 3 2" xfId="25657"/>
    <cellStyle name="Normal 8 4 6 3 2 2" xfId="25658"/>
    <cellStyle name="Normal 8 4 6 3 2 2 2" xfId="25659"/>
    <cellStyle name="Normal 8 4 6 3 2 3" xfId="25660"/>
    <cellStyle name="Normal 8 4 6 3 3" xfId="25661"/>
    <cellStyle name="Normal 8 4 6 3 3 2" xfId="25662"/>
    <cellStyle name="Normal 8 4 6 3 4" xfId="25663"/>
    <cellStyle name="Normal 8 4 6 4" xfId="25664"/>
    <cellStyle name="Normal 8 4 6 4 2" xfId="25665"/>
    <cellStyle name="Normal 8 4 6 4 2 2" xfId="25666"/>
    <cellStyle name="Normal 8 4 6 4 3" xfId="25667"/>
    <cellStyle name="Normal 8 4 6 5" xfId="25668"/>
    <cellStyle name="Normal 8 4 6 5 2" xfId="25669"/>
    <cellStyle name="Normal 8 4 6 5 2 2" xfId="25670"/>
    <cellStyle name="Normal 8 4 6 5 3" xfId="25671"/>
    <cellStyle name="Normal 8 4 6 6" xfId="25672"/>
    <cellStyle name="Normal 8 4 6 6 2" xfId="25673"/>
    <cellStyle name="Normal 8 4 6 7" xfId="25674"/>
    <cellStyle name="Normal 8 4 6 7 2" xfId="37072"/>
    <cellStyle name="Normal 8 4 6 8" xfId="25675"/>
    <cellStyle name="Normal 8 4 7" xfId="25676"/>
    <cellStyle name="Normal 8 4 7 2" xfId="25677"/>
    <cellStyle name="Normal 8 4 7 2 2" xfId="25678"/>
    <cellStyle name="Normal 8 4 7 2 2 2" xfId="25679"/>
    <cellStyle name="Normal 8 4 7 2 2 2 2" xfId="25680"/>
    <cellStyle name="Normal 8 4 7 2 2 2 3" xfId="25681"/>
    <cellStyle name="Normal 8 4 7 2 2 3" xfId="25682"/>
    <cellStyle name="Normal 8 4 7 2 2 3 2" xfId="25683"/>
    <cellStyle name="Normal 8 4 7 2 2 4" xfId="25684"/>
    <cellStyle name="Normal 8 4 7 2 3" xfId="25685"/>
    <cellStyle name="Normal 8 4 7 2 3 2" xfId="25686"/>
    <cellStyle name="Normal 8 4 7 2 3 2 2" xfId="25687"/>
    <cellStyle name="Normal 8 4 7 2 3 3" xfId="25688"/>
    <cellStyle name="Normal 8 4 7 2 4" xfId="25689"/>
    <cellStyle name="Normal 8 4 7 2 4 2" xfId="25690"/>
    <cellStyle name="Normal 8 4 7 2 4 3" xfId="25691"/>
    <cellStyle name="Normal 8 4 7 2 5" xfId="25692"/>
    <cellStyle name="Normal 8 4 7 2 5 2" xfId="25693"/>
    <cellStyle name="Normal 8 4 7 2 6" xfId="25694"/>
    <cellStyle name="Normal 8 4 7 2 6 2" xfId="37073"/>
    <cellStyle name="Normal 8 4 7 2 7" xfId="25695"/>
    <cellStyle name="Normal 8 4 7 3" xfId="25696"/>
    <cellStyle name="Normal 8 4 7 3 2" xfId="25697"/>
    <cellStyle name="Normal 8 4 7 3 2 2" xfId="25698"/>
    <cellStyle name="Normal 8 4 7 3 2 2 2" xfId="25699"/>
    <cellStyle name="Normal 8 4 7 3 2 3" xfId="25700"/>
    <cellStyle name="Normal 8 4 7 3 3" xfId="25701"/>
    <cellStyle name="Normal 8 4 7 3 3 2" xfId="25702"/>
    <cellStyle name="Normal 8 4 7 3 4" xfId="25703"/>
    <cellStyle name="Normal 8 4 7 4" xfId="25704"/>
    <cellStyle name="Normal 8 4 7 4 2" xfId="25705"/>
    <cellStyle name="Normal 8 4 7 4 2 2" xfId="25706"/>
    <cellStyle name="Normal 8 4 7 4 3" xfId="25707"/>
    <cellStyle name="Normal 8 4 7 5" xfId="25708"/>
    <cellStyle name="Normal 8 4 7 5 2" xfId="25709"/>
    <cellStyle name="Normal 8 4 7 5 2 2" xfId="25710"/>
    <cellStyle name="Normal 8 4 7 5 3" xfId="25711"/>
    <cellStyle name="Normal 8 4 7 6" xfId="25712"/>
    <cellStyle name="Normal 8 4 7 6 2" xfId="25713"/>
    <cellStyle name="Normal 8 4 7 7" xfId="25714"/>
    <cellStyle name="Normal 8 4 7 7 2" xfId="37074"/>
    <cellStyle name="Normal 8 4 7 8" xfId="25715"/>
    <cellStyle name="Normal 8 4 8" xfId="25716"/>
    <cellStyle name="Normal 8 4 8 2" xfId="25717"/>
    <cellStyle name="Normal 8 4 8 2 2" xfId="25718"/>
    <cellStyle name="Normal 8 4 8 2 2 2" xfId="25719"/>
    <cellStyle name="Normal 8 4 8 2 2 3" xfId="25720"/>
    <cellStyle name="Normal 8 4 8 2 3" xfId="25721"/>
    <cellStyle name="Normal 8 4 8 2 3 2" xfId="25722"/>
    <cellStyle name="Normal 8 4 8 2 4" xfId="25723"/>
    <cellStyle name="Normal 8 4 8 3" xfId="25724"/>
    <cellStyle name="Normal 8 4 8 3 2" xfId="25725"/>
    <cellStyle name="Normal 8 4 8 3 2 2" xfId="25726"/>
    <cellStyle name="Normal 8 4 8 3 3" xfId="25727"/>
    <cellStyle name="Normal 8 4 8 4" xfId="25728"/>
    <cellStyle name="Normal 8 4 8 4 2" xfId="25729"/>
    <cellStyle name="Normal 8 4 8 4 3" xfId="25730"/>
    <cellStyle name="Normal 8 4 8 5" xfId="25731"/>
    <cellStyle name="Normal 8 4 8 5 2" xfId="25732"/>
    <cellStyle name="Normal 8 4 8 6" xfId="25733"/>
    <cellStyle name="Normal 8 4 8 6 2" xfId="37075"/>
    <cellStyle name="Normal 8 4 8 7" xfId="25734"/>
    <cellStyle name="Normal 8 4 9" xfId="25735"/>
    <cellStyle name="Normal 8 4 9 2" xfId="25736"/>
    <cellStyle name="Normal 8 4 9 2 2" xfId="25737"/>
    <cellStyle name="Normal 8 4 9 2 2 2" xfId="25738"/>
    <cellStyle name="Normal 8 4 9 2 3" xfId="25739"/>
    <cellStyle name="Normal 8 4 9 3" xfId="25740"/>
    <cellStyle name="Normal 8 4 9 3 2" xfId="25741"/>
    <cellStyle name="Normal 8 4 9 4" xfId="25742"/>
    <cellStyle name="Normal 8 5" xfId="25743"/>
    <cellStyle name="Normal 8 5 10" xfId="25744"/>
    <cellStyle name="Normal 8 5 10 2" xfId="25745"/>
    <cellStyle name="Normal 8 5 10 2 2" xfId="25746"/>
    <cellStyle name="Normal 8 5 10 3" xfId="25747"/>
    <cellStyle name="Normal 8 5 11" xfId="25748"/>
    <cellStyle name="Normal 8 5 11 2" xfId="25749"/>
    <cellStyle name="Normal 8 5 11 2 2" xfId="25750"/>
    <cellStyle name="Normal 8 5 11 3" xfId="25751"/>
    <cellStyle name="Normal 8 5 12" xfId="25752"/>
    <cellStyle name="Normal 8 5 12 2" xfId="25753"/>
    <cellStyle name="Normal 8 5 13" xfId="25754"/>
    <cellStyle name="Normal 8 5 13 2" xfId="37076"/>
    <cellStyle name="Normal 8 5 14" xfId="25755"/>
    <cellStyle name="Normal 8 5 2" xfId="25756"/>
    <cellStyle name="Normal 8 5 2 10" xfId="25757"/>
    <cellStyle name="Normal 8 5 2 2" xfId="25758"/>
    <cellStyle name="Normal 8 5 2 2 2" xfId="25759"/>
    <cellStyle name="Normal 8 5 2 2 2 2" xfId="25760"/>
    <cellStyle name="Normal 8 5 2 2 2 2 2" xfId="25761"/>
    <cellStyle name="Normal 8 5 2 2 2 2 2 2" xfId="25762"/>
    <cellStyle name="Normal 8 5 2 2 2 2 2 2 2" xfId="25763"/>
    <cellStyle name="Normal 8 5 2 2 2 2 2 2 3" xfId="25764"/>
    <cellStyle name="Normal 8 5 2 2 2 2 2 3" xfId="25765"/>
    <cellStyle name="Normal 8 5 2 2 2 2 2 3 2" xfId="25766"/>
    <cellStyle name="Normal 8 5 2 2 2 2 2 4" xfId="25767"/>
    <cellStyle name="Normal 8 5 2 2 2 2 3" xfId="25768"/>
    <cellStyle name="Normal 8 5 2 2 2 2 3 2" xfId="25769"/>
    <cellStyle name="Normal 8 5 2 2 2 2 3 2 2" xfId="25770"/>
    <cellStyle name="Normal 8 5 2 2 2 2 3 3" xfId="25771"/>
    <cellStyle name="Normal 8 5 2 2 2 2 4" xfId="25772"/>
    <cellStyle name="Normal 8 5 2 2 2 2 4 2" xfId="25773"/>
    <cellStyle name="Normal 8 5 2 2 2 2 4 3" xfId="25774"/>
    <cellStyle name="Normal 8 5 2 2 2 2 5" xfId="25775"/>
    <cellStyle name="Normal 8 5 2 2 2 2 5 2" xfId="25776"/>
    <cellStyle name="Normal 8 5 2 2 2 2 6" xfId="25777"/>
    <cellStyle name="Normal 8 5 2 2 2 2 6 2" xfId="37077"/>
    <cellStyle name="Normal 8 5 2 2 2 2 7" xfId="25778"/>
    <cellStyle name="Normal 8 5 2 2 2 3" xfId="25779"/>
    <cellStyle name="Normal 8 5 2 2 2 3 2" xfId="25780"/>
    <cellStyle name="Normal 8 5 2 2 2 3 2 2" xfId="25781"/>
    <cellStyle name="Normal 8 5 2 2 2 3 2 2 2" xfId="25782"/>
    <cellStyle name="Normal 8 5 2 2 2 3 2 3" xfId="25783"/>
    <cellStyle name="Normal 8 5 2 2 2 3 3" xfId="25784"/>
    <cellStyle name="Normal 8 5 2 2 2 3 3 2" xfId="25785"/>
    <cellStyle name="Normal 8 5 2 2 2 3 4" xfId="25786"/>
    <cellStyle name="Normal 8 5 2 2 2 4" xfId="25787"/>
    <cellStyle name="Normal 8 5 2 2 2 4 2" xfId="25788"/>
    <cellStyle name="Normal 8 5 2 2 2 4 2 2" xfId="25789"/>
    <cellStyle name="Normal 8 5 2 2 2 4 3" xfId="25790"/>
    <cellStyle name="Normal 8 5 2 2 2 5" xfId="25791"/>
    <cellStyle name="Normal 8 5 2 2 2 5 2" xfId="25792"/>
    <cellStyle name="Normal 8 5 2 2 2 5 2 2" xfId="25793"/>
    <cellStyle name="Normal 8 5 2 2 2 5 3" xfId="25794"/>
    <cellStyle name="Normal 8 5 2 2 2 6" xfId="25795"/>
    <cellStyle name="Normal 8 5 2 2 2 6 2" xfId="25796"/>
    <cellStyle name="Normal 8 5 2 2 2 7" xfId="25797"/>
    <cellStyle name="Normal 8 5 2 2 2 7 2" xfId="37078"/>
    <cellStyle name="Normal 8 5 2 2 2 8" xfId="25798"/>
    <cellStyle name="Normal 8 5 2 2 3" xfId="25799"/>
    <cellStyle name="Normal 8 5 2 2 3 2" xfId="25800"/>
    <cellStyle name="Normal 8 5 2 2 3 2 2" xfId="25801"/>
    <cellStyle name="Normal 8 5 2 2 3 2 2 2" xfId="25802"/>
    <cellStyle name="Normal 8 5 2 2 3 2 2 3" xfId="25803"/>
    <cellStyle name="Normal 8 5 2 2 3 2 3" xfId="25804"/>
    <cellStyle name="Normal 8 5 2 2 3 2 3 2" xfId="25805"/>
    <cellStyle name="Normal 8 5 2 2 3 2 4" xfId="25806"/>
    <cellStyle name="Normal 8 5 2 2 3 3" xfId="25807"/>
    <cellStyle name="Normal 8 5 2 2 3 3 2" xfId="25808"/>
    <cellStyle name="Normal 8 5 2 2 3 3 2 2" xfId="25809"/>
    <cellStyle name="Normal 8 5 2 2 3 3 3" xfId="25810"/>
    <cellStyle name="Normal 8 5 2 2 3 4" xfId="25811"/>
    <cellStyle name="Normal 8 5 2 2 3 4 2" xfId="25812"/>
    <cellStyle name="Normal 8 5 2 2 3 4 3" xfId="25813"/>
    <cellStyle name="Normal 8 5 2 2 3 5" xfId="25814"/>
    <cellStyle name="Normal 8 5 2 2 3 5 2" xfId="25815"/>
    <cellStyle name="Normal 8 5 2 2 3 6" xfId="25816"/>
    <cellStyle name="Normal 8 5 2 2 3 6 2" xfId="37079"/>
    <cellStyle name="Normal 8 5 2 2 3 7" xfId="25817"/>
    <cellStyle name="Normal 8 5 2 2 4" xfId="25818"/>
    <cellStyle name="Normal 8 5 2 2 4 2" xfId="25819"/>
    <cellStyle name="Normal 8 5 2 2 4 2 2" xfId="25820"/>
    <cellStyle name="Normal 8 5 2 2 4 2 2 2" xfId="25821"/>
    <cellStyle name="Normal 8 5 2 2 4 2 3" xfId="25822"/>
    <cellStyle name="Normal 8 5 2 2 4 3" xfId="25823"/>
    <cellStyle name="Normal 8 5 2 2 4 3 2" xfId="25824"/>
    <cellStyle name="Normal 8 5 2 2 4 4" xfId="25825"/>
    <cellStyle name="Normal 8 5 2 2 5" xfId="25826"/>
    <cellStyle name="Normal 8 5 2 2 5 2" xfId="25827"/>
    <cellStyle name="Normal 8 5 2 2 5 2 2" xfId="25828"/>
    <cellStyle name="Normal 8 5 2 2 5 3" xfId="25829"/>
    <cellStyle name="Normal 8 5 2 2 6" xfId="25830"/>
    <cellStyle name="Normal 8 5 2 2 6 2" xfId="25831"/>
    <cellStyle name="Normal 8 5 2 2 6 2 2" xfId="25832"/>
    <cellStyle name="Normal 8 5 2 2 6 3" xfId="25833"/>
    <cellStyle name="Normal 8 5 2 2 7" xfId="25834"/>
    <cellStyle name="Normal 8 5 2 2 7 2" xfId="25835"/>
    <cellStyle name="Normal 8 5 2 2 8" xfId="25836"/>
    <cellStyle name="Normal 8 5 2 2 8 2" xfId="37080"/>
    <cellStyle name="Normal 8 5 2 2 9" xfId="25837"/>
    <cellStyle name="Normal 8 5 2 3" xfId="25838"/>
    <cellStyle name="Normal 8 5 2 3 2" xfId="25839"/>
    <cellStyle name="Normal 8 5 2 3 2 2" xfId="25840"/>
    <cellStyle name="Normal 8 5 2 3 2 2 2" xfId="25841"/>
    <cellStyle name="Normal 8 5 2 3 2 2 2 2" xfId="25842"/>
    <cellStyle name="Normal 8 5 2 3 2 2 2 3" xfId="25843"/>
    <cellStyle name="Normal 8 5 2 3 2 2 3" xfId="25844"/>
    <cellStyle name="Normal 8 5 2 3 2 2 3 2" xfId="25845"/>
    <cellStyle name="Normal 8 5 2 3 2 2 4" xfId="25846"/>
    <cellStyle name="Normal 8 5 2 3 2 3" xfId="25847"/>
    <cellStyle name="Normal 8 5 2 3 2 3 2" xfId="25848"/>
    <cellStyle name="Normal 8 5 2 3 2 3 2 2" xfId="25849"/>
    <cellStyle name="Normal 8 5 2 3 2 3 3" xfId="25850"/>
    <cellStyle name="Normal 8 5 2 3 2 4" xfId="25851"/>
    <cellStyle name="Normal 8 5 2 3 2 4 2" xfId="25852"/>
    <cellStyle name="Normal 8 5 2 3 2 4 3" xfId="25853"/>
    <cellStyle name="Normal 8 5 2 3 2 5" xfId="25854"/>
    <cellStyle name="Normal 8 5 2 3 2 5 2" xfId="25855"/>
    <cellStyle name="Normal 8 5 2 3 2 6" xfId="25856"/>
    <cellStyle name="Normal 8 5 2 3 2 6 2" xfId="37081"/>
    <cellStyle name="Normal 8 5 2 3 2 7" xfId="25857"/>
    <cellStyle name="Normal 8 5 2 3 3" xfId="25858"/>
    <cellStyle name="Normal 8 5 2 3 3 2" xfId="25859"/>
    <cellStyle name="Normal 8 5 2 3 3 2 2" xfId="25860"/>
    <cellStyle name="Normal 8 5 2 3 3 2 2 2" xfId="25861"/>
    <cellStyle name="Normal 8 5 2 3 3 2 3" xfId="25862"/>
    <cellStyle name="Normal 8 5 2 3 3 3" xfId="25863"/>
    <cellStyle name="Normal 8 5 2 3 3 3 2" xfId="25864"/>
    <cellStyle name="Normal 8 5 2 3 3 4" xfId="25865"/>
    <cellStyle name="Normal 8 5 2 3 4" xfId="25866"/>
    <cellStyle name="Normal 8 5 2 3 4 2" xfId="25867"/>
    <cellStyle name="Normal 8 5 2 3 4 2 2" xfId="25868"/>
    <cellStyle name="Normal 8 5 2 3 4 3" xfId="25869"/>
    <cellStyle name="Normal 8 5 2 3 5" xfId="25870"/>
    <cellStyle name="Normal 8 5 2 3 5 2" xfId="25871"/>
    <cellStyle name="Normal 8 5 2 3 5 2 2" xfId="25872"/>
    <cellStyle name="Normal 8 5 2 3 5 3" xfId="25873"/>
    <cellStyle name="Normal 8 5 2 3 6" xfId="25874"/>
    <cellStyle name="Normal 8 5 2 3 6 2" xfId="25875"/>
    <cellStyle name="Normal 8 5 2 3 7" xfId="25876"/>
    <cellStyle name="Normal 8 5 2 3 7 2" xfId="37082"/>
    <cellStyle name="Normal 8 5 2 3 8" xfId="25877"/>
    <cellStyle name="Normal 8 5 2 4" xfId="25878"/>
    <cellStyle name="Normal 8 5 2 4 2" xfId="25879"/>
    <cellStyle name="Normal 8 5 2 4 2 2" xfId="25880"/>
    <cellStyle name="Normal 8 5 2 4 2 2 2" xfId="25881"/>
    <cellStyle name="Normal 8 5 2 4 2 2 3" xfId="25882"/>
    <cellStyle name="Normal 8 5 2 4 2 3" xfId="25883"/>
    <cellStyle name="Normal 8 5 2 4 2 3 2" xfId="25884"/>
    <cellStyle name="Normal 8 5 2 4 2 4" xfId="25885"/>
    <cellStyle name="Normal 8 5 2 4 3" xfId="25886"/>
    <cellStyle name="Normal 8 5 2 4 3 2" xfId="25887"/>
    <cellStyle name="Normal 8 5 2 4 3 2 2" xfId="25888"/>
    <cellStyle name="Normal 8 5 2 4 3 3" xfId="25889"/>
    <cellStyle name="Normal 8 5 2 4 4" xfId="25890"/>
    <cellStyle name="Normal 8 5 2 4 4 2" xfId="25891"/>
    <cellStyle name="Normal 8 5 2 4 4 3" xfId="25892"/>
    <cellStyle name="Normal 8 5 2 4 5" xfId="25893"/>
    <cellStyle name="Normal 8 5 2 4 5 2" xfId="25894"/>
    <cellStyle name="Normal 8 5 2 4 6" xfId="25895"/>
    <cellStyle name="Normal 8 5 2 4 6 2" xfId="37083"/>
    <cellStyle name="Normal 8 5 2 4 7" xfId="25896"/>
    <cellStyle name="Normal 8 5 2 5" xfId="25897"/>
    <cellStyle name="Normal 8 5 2 5 2" xfId="25898"/>
    <cellStyle name="Normal 8 5 2 5 2 2" xfId="25899"/>
    <cellStyle name="Normal 8 5 2 5 2 2 2" xfId="25900"/>
    <cellStyle name="Normal 8 5 2 5 2 3" xfId="25901"/>
    <cellStyle name="Normal 8 5 2 5 3" xfId="25902"/>
    <cellStyle name="Normal 8 5 2 5 3 2" xfId="25903"/>
    <cellStyle name="Normal 8 5 2 5 4" xfId="25904"/>
    <cellStyle name="Normal 8 5 2 6" xfId="25905"/>
    <cellStyle name="Normal 8 5 2 6 2" xfId="25906"/>
    <cellStyle name="Normal 8 5 2 6 2 2" xfId="25907"/>
    <cellStyle name="Normal 8 5 2 6 3" xfId="25908"/>
    <cellStyle name="Normal 8 5 2 7" xfId="25909"/>
    <cellStyle name="Normal 8 5 2 7 2" xfId="25910"/>
    <cellStyle name="Normal 8 5 2 7 2 2" xfId="25911"/>
    <cellStyle name="Normal 8 5 2 7 3" xfId="25912"/>
    <cellStyle name="Normal 8 5 2 8" xfId="25913"/>
    <cellStyle name="Normal 8 5 2 8 2" xfId="25914"/>
    <cellStyle name="Normal 8 5 2 9" xfId="25915"/>
    <cellStyle name="Normal 8 5 2 9 2" xfId="37084"/>
    <cellStyle name="Normal 8 5 3" xfId="25916"/>
    <cellStyle name="Normal 8 5 3 2" xfId="25917"/>
    <cellStyle name="Normal 8 5 3 2 2" xfId="25918"/>
    <cellStyle name="Normal 8 5 3 2 2 2" xfId="25919"/>
    <cellStyle name="Normal 8 5 3 2 2 2 2" xfId="25920"/>
    <cellStyle name="Normal 8 5 3 2 2 2 2 2" xfId="25921"/>
    <cellStyle name="Normal 8 5 3 2 2 2 2 3" xfId="25922"/>
    <cellStyle name="Normal 8 5 3 2 2 2 3" xfId="25923"/>
    <cellStyle name="Normal 8 5 3 2 2 2 3 2" xfId="25924"/>
    <cellStyle name="Normal 8 5 3 2 2 2 4" xfId="25925"/>
    <cellStyle name="Normal 8 5 3 2 2 3" xfId="25926"/>
    <cellStyle name="Normal 8 5 3 2 2 3 2" xfId="25927"/>
    <cellStyle name="Normal 8 5 3 2 2 3 2 2" xfId="25928"/>
    <cellStyle name="Normal 8 5 3 2 2 3 3" xfId="25929"/>
    <cellStyle name="Normal 8 5 3 2 2 4" xfId="25930"/>
    <cellStyle name="Normal 8 5 3 2 2 4 2" xfId="25931"/>
    <cellStyle name="Normal 8 5 3 2 2 4 3" xfId="25932"/>
    <cellStyle name="Normal 8 5 3 2 2 5" xfId="25933"/>
    <cellStyle name="Normal 8 5 3 2 2 5 2" xfId="25934"/>
    <cellStyle name="Normal 8 5 3 2 2 6" xfId="25935"/>
    <cellStyle name="Normal 8 5 3 2 2 6 2" xfId="37085"/>
    <cellStyle name="Normal 8 5 3 2 2 7" xfId="25936"/>
    <cellStyle name="Normal 8 5 3 2 3" xfId="25937"/>
    <cellStyle name="Normal 8 5 3 2 3 2" xfId="25938"/>
    <cellStyle name="Normal 8 5 3 2 3 2 2" xfId="25939"/>
    <cellStyle name="Normal 8 5 3 2 3 2 2 2" xfId="25940"/>
    <cellStyle name="Normal 8 5 3 2 3 2 3" xfId="25941"/>
    <cellStyle name="Normal 8 5 3 2 3 3" xfId="25942"/>
    <cellStyle name="Normal 8 5 3 2 3 3 2" xfId="25943"/>
    <cellStyle name="Normal 8 5 3 2 3 4" xfId="25944"/>
    <cellStyle name="Normal 8 5 3 2 4" xfId="25945"/>
    <cellStyle name="Normal 8 5 3 2 4 2" xfId="25946"/>
    <cellStyle name="Normal 8 5 3 2 4 2 2" xfId="25947"/>
    <cellStyle name="Normal 8 5 3 2 4 3" xfId="25948"/>
    <cellStyle name="Normal 8 5 3 2 5" xfId="25949"/>
    <cellStyle name="Normal 8 5 3 2 5 2" xfId="25950"/>
    <cellStyle name="Normal 8 5 3 2 5 2 2" xfId="25951"/>
    <cellStyle name="Normal 8 5 3 2 5 3" xfId="25952"/>
    <cellStyle name="Normal 8 5 3 2 6" xfId="25953"/>
    <cellStyle name="Normal 8 5 3 2 6 2" xfId="25954"/>
    <cellStyle name="Normal 8 5 3 2 7" xfId="25955"/>
    <cellStyle name="Normal 8 5 3 2 7 2" xfId="37086"/>
    <cellStyle name="Normal 8 5 3 2 8" xfId="25956"/>
    <cellStyle name="Normal 8 5 3 3" xfId="25957"/>
    <cellStyle name="Normal 8 5 3 3 2" xfId="25958"/>
    <cellStyle name="Normal 8 5 3 3 2 2" xfId="25959"/>
    <cellStyle name="Normal 8 5 3 3 2 2 2" xfId="25960"/>
    <cellStyle name="Normal 8 5 3 3 2 2 3" xfId="25961"/>
    <cellStyle name="Normal 8 5 3 3 2 3" xfId="25962"/>
    <cellStyle name="Normal 8 5 3 3 2 3 2" xfId="25963"/>
    <cellStyle name="Normal 8 5 3 3 2 4" xfId="25964"/>
    <cellStyle name="Normal 8 5 3 3 3" xfId="25965"/>
    <cellStyle name="Normal 8 5 3 3 3 2" xfId="25966"/>
    <cellStyle name="Normal 8 5 3 3 3 2 2" xfId="25967"/>
    <cellStyle name="Normal 8 5 3 3 3 3" xfId="25968"/>
    <cellStyle name="Normal 8 5 3 3 4" xfId="25969"/>
    <cellStyle name="Normal 8 5 3 3 4 2" xfId="25970"/>
    <cellStyle name="Normal 8 5 3 3 4 3" xfId="25971"/>
    <cellStyle name="Normal 8 5 3 3 5" xfId="25972"/>
    <cellStyle name="Normal 8 5 3 3 5 2" xfId="25973"/>
    <cellStyle name="Normal 8 5 3 3 6" xfId="25974"/>
    <cellStyle name="Normal 8 5 3 3 6 2" xfId="37087"/>
    <cellStyle name="Normal 8 5 3 3 7" xfId="25975"/>
    <cellStyle name="Normal 8 5 3 4" xfId="25976"/>
    <cellStyle name="Normal 8 5 3 4 2" xfId="25977"/>
    <cellStyle name="Normal 8 5 3 4 2 2" xfId="25978"/>
    <cellStyle name="Normal 8 5 3 4 2 2 2" xfId="25979"/>
    <cellStyle name="Normal 8 5 3 4 2 3" xfId="25980"/>
    <cellStyle name="Normal 8 5 3 4 3" xfId="25981"/>
    <cellStyle name="Normal 8 5 3 4 3 2" xfId="25982"/>
    <cellStyle name="Normal 8 5 3 4 4" xfId="25983"/>
    <cellStyle name="Normal 8 5 3 5" xfId="25984"/>
    <cellStyle name="Normal 8 5 3 5 2" xfId="25985"/>
    <cellStyle name="Normal 8 5 3 5 2 2" xfId="25986"/>
    <cellStyle name="Normal 8 5 3 5 3" xfId="25987"/>
    <cellStyle name="Normal 8 5 3 6" xfId="25988"/>
    <cellStyle name="Normal 8 5 3 6 2" xfId="25989"/>
    <cellStyle name="Normal 8 5 3 6 2 2" xfId="25990"/>
    <cellStyle name="Normal 8 5 3 6 3" xfId="25991"/>
    <cellStyle name="Normal 8 5 3 7" xfId="25992"/>
    <cellStyle name="Normal 8 5 3 7 2" xfId="25993"/>
    <cellStyle name="Normal 8 5 3 8" xfId="25994"/>
    <cellStyle name="Normal 8 5 3 8 2" xfId="37088"/>
    <cellStyle name="Normal 8 5 3 9" xfId="25995"/>
    <cellStyle name="Normal 8 5 4" xfId="25996"/>
    <cellStyle name="Normal 8 5 4 2" xfId="25997"/>
    <cellStyle name="Normal 8 5 4 2 2" xfId="25998"/>
    <cellStyle name="Normal 8 5 4 2 2 2" xfId="25999"/>
    <cellStyle name="Normal 8 5 4 2 2 2 2" xfId="26000"/>
    <cellStyle name="Normal 8 5 4 2 2 2 2 2" xfId="26001"/>
    <cellStyle name="Normal 8 5 4 2 2 2 2 3" xfId="26002"/>
    <cellStyle name="Normal 8 5 4 2 2 2 3" xfId="26003"/>
    <cellStyle name="Normal 8 5 4 2 2 2 3 2" xfId="26004"/>
    <cellStyle name="Normal 8 5 4 2 2 2 4" xfId="26005"/>
    <cellStyle name="Normal 8 5 4 2 2 3" xfId="26006"/>
    <cellStyle name="Normal 8 5 4 2 2 3 2" xfId="26007"/>
    <cellStyle name="Normal 8 5 4 2 2 3 2 2" xfId="26008"/>
    <cellStyle name="Normal 8 5 4 2 2 3 3" xfId="26009"/>
    <cellStyle name="Normal 8 5 4 2 2 4" xfId="26010"/>
    <cellStyle name="Normal 8 5 4 2 2 4 2" xfId="26011"/>
    <cellStyle name="Normal 8 5 4 2 2 4 3" xfId="26012"/>
    <cellStyle name="Normal 8 5 4 2 2 5" xfId="26013"/>
    <cellStyle name="Normal 8 5 4 2 2 5 2" xfId="26014"/>
    <cellStyle name="Normal 8 5 4 2 2 6" xfId="26015"/>
    <cellStyle name="Normal 8 5 4 2 2 6 2" xfId="37089"/>
    <cellStyle name="Normal 8 5 4 2 2 7" xfId="26016"/>
    <cellStyle name="Normal 8 5 4 2 3" xfId="26017"/>
    <cellStyle name="Normal 8 5 4 2 3 2" xfId="26018"/>
    <cellStyle name="Normal 8 5 4 2 3 2 2" xfId="26019"/>
    <cellStyle name="Normal 8 5 4 2 3 2 2 2" xfId="26020"/>
    <cellStyle name="Normal 8 5 4 2 3 2 3" xfId="26021"/>
    <cellStyle name="Normal 8 5 4 2 3 3" xfId="26022"/>
    <cellStyle name="Normal 8 5 4 2 3 3 2" xfId="26023"/>
    <cellStyle name="Normal 8 5 4 2 3 4" xfId="26024"/>
    <cellStyle name="Normal 8 5 4 2 4" xfId="26025"/>
    <cellStyle name="Normal 8 5 4 2 4 2" xfId="26026"/>
    <cellStyle name="Normal 8 5 4 2 4 2 2" xfId="26027"/>
    <cellStyle name="Normal 8 5 4 2 4 3" xfId="26028"/>
    <cellStyle name="Normal 8 5 4 2 5" xfId="26029"/>
    <cellStyle name="Normal 8 5 4 2 5 2" xfId="26030"/>
    <cellStyle name="Normal 8 5 4 2 5 2 2" xfId="26031"/>
    <cellStyle name="Normal 8 5 4 2 5 3" xfId="26032"/>
    <cellStyle name="Normal 8 5 4 2 6" xfId="26033"/>
    <cellStyle name="Normal 8 5 4 2 6 2" xfId="26034"/>
    <cellStyle name="Normal 8 5 4 2 7" xfId="26035"/>
    <cellStyle name="Normal 8 5 4 2 7 2" xfId="37090"/>
    <cellStyle name="Normal 8 5 4 2 8" xfId="26036"/>
    <cellStyle name="Normal 8 5 4 3" xfId="26037"/>
    <cellStyle name="Normal 8 5 4 3 2" xfId="26038"/>
    <cellStyle name="Normal 8 5 4 3 2 2" xfId="26039"/>
    <cellStyle name="Normal 8 5 4 3 2 2 2" xfId="26040"/>
    <cellStyle name="Normal 8 5 4 3 2 2 3" xfId="26041"/>
    <cellStyle name="Normal 8 5 4 3 2 3" xfId="26042"/>
    <cellStyle name="Normal 8 5 4 3 2 3 2" xfId="26043"/>
    <cellStyle name="Normal 8 5 4 3 2 4" xfId="26044"/>
    <cellStyle name="Normal 8 5 4 3 3" xfId="26045"/>
    <cellStyle name="Normal 8 5 4 3 3 2" xfId="26046"/>
    <cellStyle name="Normal 8 5 4 3 3 2 2" xfId="26047"/>
    <cellStyle name="Normal 8 5 4 3 3 3" xfId="26048"/>
    <cellStyle name="Normal 8 5 4 3 4" xfId="26049"/>
    <cellStyle name="Normal 8 5 4 3 4 2" xfId="26050"/>
    <cellStyle name="Normal 8 5 4 3 4 3" xfId="26051"/>
    <cellStyle name="Normal 8 5 4 3 5" xfId="26052"/>
    <cellStyle name="Normal 8 5 4 3 5 2" xfId="26053"/>
    <cellStyle name="Normal 8 5 4 3 6" xfId="26054"/>
    <cellStyle name="Normal 8 5 4 3 6 2" xfId="37091"/>
    <cellStyle name="Normal 8 5 4 3 7" xfId="26055"/>
    <cellStyle name="Normal 8 5 4 4" xfId="26056"/>
    <cellStyle name="Normal 8 5 4 4 2" xfId="26057"/>
    <cellStyle name="Normal 8 5 4 4 2 2" xfId="26058"/>
    <cellStyle name="Normal 8 5 4 4 2 2 2" xfId="26059"/>
    <cellStyle name="Normal 8 5 4 4 2 3" xfId="26060"/>
    <cellStyle name="Normal 8 5 4 4 3" xfId="26061"/>
    <cellStyle name="Normal 8 5 4 4 3 2" xfId="26062"/>
    <cellStyle name="Normal 8 5 4 4 4" xfId="26063"/>
    <cellStyle name="Normal 8 5 4 5" xfId="26064"/>
    <cellStyle name="Normal 8 5 4 5 2" xfId="26065"/>
    <cellStyle name="Normal 8 5 4 5 2 2" xfId="26066"/>
    <cellStyle name="Normal 8 5 4 5 3" xfId="26067"/>
    <cellStyle name="Normal 8 5 4 6" xfId="26068"/>
    <cellStyle name="Normal 8 5 4 6 2" xfId="26069"/>
    <cellStyle name="Normal 8 5 4 6 2 2" xfId="26070"/>
    <cellStyle name="Normal 8 5 4 6 3" xfId="26071"/>
    <cellStyle name="Normal 8 5 4 7" xfId="26072"/>
    <cellStyle name="Normal 8 5 4 7 2" xfId="26073"/>
    <cellStyle name="Normal 8 5 4 8" xfId="26074"/>
    <cellStyle name="Normal 8 5 4 8 2" xfId="37092"/>
    <cellStyle name="Normal 8 5 4 9" xfId="26075"/>
    <cellStyle name="Normal 8 5 5" xfId="26076"/>
    <cellStyle name="Normal 8 5 5 2" xfId="26077"/>
    <cellStyle name="Normal 8 5 5 2 2" xfId="26078"/>
    <cellStyle name="Normal 8 5 5 2 2 2" xfId="26079"/>
    <cellStyle name="Normal 8 5 5 2 2 2 2" xfId="26080"/>
    <cellStyle name="Normal 8 5 5 2 2 2 3" xfId="26081"/>
    <cellStyle name="Normal 8 5 5 2 2 3" xfId="26082"/>
    <cellStyle name="Normal 8 5 5 2 2 3 2" xfId="26083"/>
    <cellStyle name="Normal 8 5 5 2 2 4" xfId="26084"/>
    <cellStyle name="Normal 8 5 5 2 3" xfId="26085"/>
    <cellStyle name="Normal 8 5 5 2 3 2" xfId="26086"/>
    <cellStyle name="Normal 8 5 5 2 3 2 2" xfId="26087"/>
    <cellStyle name="Normal 8 5 5 2 3 3" xfId="26088"/>
    <cellStyle name="Normal 8 5 5 2 4" xfId="26089"/>
    <cellStyle name="Normal 8 5 5 2 4 2" xfId="26090"/>
    <cellStyle name="Normal 8 5 5 2 4 3" xfId="26091"/>
    <cellStyle name="Normal 8 5 5 2 5" xfId="26092"/>
    <cellStyle name="Normal 8 5 5 2 5 2" xfId="26093"/>
    <cellStyle name="Normal 8 5 5 2 6" xfId="26094"/>
    <cellStyle name="Normal 8 5 5 2 6 2" xfId="37093"/>
    <cellStyle name="Normal 8 5 5 2 7" xfId="26095"/>
    <cellStyle name="Normal 8 5 5 3" xfId="26096"/>
    <cellStyle name="Normal 8 5 5 3 2" xfId="26097"/>
    <cellStyle name="Normal 8 5 5 3 2 2" xfId="26098"/>
    <cellStyle name="Normal 8 5 5 3 2 2 2" xfId="26099"/>
    <cellStyle name="Normal 8 5 5 3 2 3" xfId="26100"/>
    <cellStyle name="Normal 8 5 5 3 3" xfId="26101"/>
    <cellStyle name="Normal 8 5 5 3 3 2" xfId="26102"/>
    <cellStyle name="Normal 8 5 5 3 4" xfId="26103"/>
    <cellStyle name="Normal 8 5 5 4" xfId="26104"/>
    <cellStyle name="Normal 8 5 5 4 2" xfId="26105"/>
    <cellStyle name="Normal 8 5 5 4 2 2" xfId="26106"/>
    <cellStyle name="Normal 8 5 5 4 3" xfId="26107"/>
    <cellStyle name="Normal 8 5 5 5" xfId="26108"/>
    <cellStyle name="Normal 8 5 5 5 2" xfId="26109"/>
    <cellStyle name="Normal 8 5 5 5 2 2" xfId="26110"/>
    <cellStyle name="Normal 8 5 5 5 3" xfId="26111"/>
    <cellStyle name="Normal 8 5 5 6" xfId="26112"/>
    <cellStyle name="Normal 8 5 5 6 2" xfId="26113"/>
    <cellStyle name="Normal 8 5 5 7" xfId="26114"/>
    <cellStyle name="Normal 8 5 5 7 2" xfId="37094"/>
    <cellStyle name="Normal 8 5 5 8" xfId="26115"/>
    <cellStyle name="Normal 8 5 6" xfId="26116"/>
    <cellStyle name="Normal 8 5 6 2" xfId="26117"/>
    <cellStyle name="Normal 8 5 6 2 2" xfId="26118"/>
    <cellStyle name="Normal 8 5 6 2 2 2" xfId="26119"/>
    <cellStyle name="Normal 8 5 6 2 2 2 2" xfId="26120"/>
    <cellStyle name="Normal 8 5 6 2 2 2 3" xfId="26121"/>
    <cellStyle name="Normal 8 5 6 2 2 3" xfId="26122"/>
    <cellStyle name="Normal 8 5 6 2 2 3 2" xfId="26123"/>
    <cellStyle name="Normal 8 5 6 2 2 4" xfId="26124"/>
    <cellStyle name="Normal 8 5 6 2 3" xfId="26125"/>
    <cellStyle name="Normal 8 5 6 2 3 2" xfId="26126"/>
    <cellStyle name="Normal 8 5 6 2 3 2 2" xfId="26127"/>
    <cellStyle name="Normal 8 5 6 2 3 3" xfId="26128"/>
    <cellStyle name="Normal 8 5 6 2 4" xfId="26129"/>
    <cellStyle name="Normal 8 5 6 2 4 2" xfId="26130"/>
    <cellStyle name="Normal 8 5 6 2 4 3" xfId="26131"/>
    <cellStyle name="Normal 8 5 6 2 5" xfId="26132"/>
    <cellStyle name="Normal 8 5 6 2 5 2" xfId="26133"/>
    <cellStyle name="Normal 8 5 6 2 6" xfId="26134"/>
    <cellStyle name="Normal 8 5 6 2 6 2" xfId="37095"/>
    <cellStyle name="Normal 8 5 6 2 7" xfId="26135"/>
    <cellStyle name="Normal 8 5 6 3" xfId="26136"/>
    <cellStyle name="Normal 8 5 6 3 2" xfId="26137"/>
    <cellStyle name="Normal 8 5 6 3 2 2" xfId="26138"/>
    <cellStyle name="Normal 8 5 6 3 2 2 2" xfId="26139"/>
    <cellStyle name="Normal 8 5 6 3 2 3" xfId="26140"/>
    <cellStyle name="Normal 8 5 6 3 3" xfId="26141"/>
    <cellStyle name="Normal 8 5 6 3 3 2" xfId="26142"/>
    <cellStyle name="Normal 8 5 6 3 4" xfId="26143"/>
    <cellStyle name="Normal 8 5 6 4" xfId="26144"/>
    <cellStyle name="Normal 8 5 6 4 2" xfId="26145"/>
    <cellStyle name="Normal 8 5 6 4 2 2" xfId="26146"/>
    <cellStyle name="Normal 8 5 6 4 3" xfId="26147"/>
    <cellStyle name="Normal 8 5 6 5" xfId="26148"/>
    <cellStyle name="Normal 8 5 6 5 2" xfId="26149"/>
    <cellStyle name="Normal 8 5 6 5 2 2" xfId="26150"/>
    <cellStyle name="Normal 8 5 6 5 3" xfId="26151"/>
    <cellStyle name="Normal 8 5 6 6" xfId="26152"/>
    <cellStyle name="Normal 8 5 6 6 2" xfId="26153"/>
    <cellStyle name="Normal 8 5 6 7" xfId="26154"/>
    <cellStyle name="Normal 8 5 6 7 2" xfId="37096"/>
    <cellStyle name="Normal 8 5 6 8" xfId="26155"/>
    <cellStyle name="Normal 8 5 7" xfId="26156"/>
    <cellStyle name="Normal 8 5 7 2" xfId="26157"/>
    <cellStyle name="Normal 8 5 7 2 2" xfId="26158"/>
    <cellStyle name="Normal 8 5 7 2 2 2" xfId="26159"/>
    <cellStyle name="Normal 8 5 7 2 2 2 2" xfId="26160"/>
    <cellStyle name="Normal 8 5 7 2 2 2 3" xfId="26161"/>
    <cellStyle name="Normal 8 5 7 2 2 3" xfId="26162"/>
    <cellStyle name="Normal 8 5 7 2 2 3 2" xfId="26163"/>
    <cellStyle name="Normal 8 5 7 2 2 4" xfId="26164"/>
    <cellStyle name="Normal 8 5 7 2 3" xfId="26165"/>
    <cellStyle name="Normal 8 5 7 2 3 2" xfId="26166"/>
    <cellStyle name="Normal 8 5 7 2 3 2 2" xfId="26167"/>
    <cellStyle name="Normal 8 5 7 2 3 3" xfId="26168"/>
    <cellStyle name="Normal 8 5 7 2 4" xfId="26169"/>
    <cellStyle name="Normal 8 5 7 2 4 2" xfId="26170"/>
    <cellStyle name="Normal 8 5 7 2 4 3" xfId="26171"/>
    <cellStyle name="Normal 8 5 7 2 5" xfId="26172"/>
    <cellStyle name="Normal 8 5 7 2 5 2" xfId="26173"/>
    <cellStyle name="Normal 8 5 7 2 6" xfId="26174"/>
    <cellStyle name="Normal 8 5 7 2 6 2" xfId="37097"/>
    <cellStyle name="Normal 8 5 7 2 7" xfId="26175"/>
    <cellStyle name="Normal 8 5 7 3" xfId="26176"/>
    <cellStyle name="Normal 8 5 7 3 2" xfId="26177"/>
    <cellStyle name="Normal 8 5 7 3 2 2" xfId="26178"/>
    <cellStyle name="Normal 8 5 7 3 2 2 2" xfId="26179"/>
    <cellStyle name="Normal 8 5 7 3 2 3" xfId="26180"/>
    <cellStyle name="Normal 8 5 7 3 3" xfId="26181"/>
    <cellStyle name="Normal 8 5 7 3 3 2" xfId="26182"/>
    <cellStyle name="Normal 8 5 7 3 4" xfId="26183"/>
    <cellStyle name="Normal 8 5 7 4" xfId="26184"/>
    <cellStyle name="Normal 8 5 7 4 2" xfId="26185"/>
    <cellStyle name="Normal 8 5 7 4 2 2" xfId="26186"/>
    <cellStyle name="Normal 8 5 7 4 3" xfId="26187"/>
    <cellStyle name="Normal 8 5 7 5" xfId="26188"/>
    <cellStyle name="Normal 8 5 7 5 2" xfId="26189"/>
    <cellStyle name="Normal 8 5 7 5 2 2" xfId="26190"/>
    <cellStyle name="Normal 8 5 7 5 3" xfId="26191"/>
    <cellStyle name="Normal 8 5 7 6" xfId="26192"/>
    <cellStyle name="Normal 8 5 7 6 2" xfId="26193"/>
    <cellStyle name="Normal 8 5 7 7" xfId="26194"/>
    <cellStyle name="Normal 8 5 7 7 2" xfId="37098"/>
    <cellStyle name="Normal 8 5 7 8" xfId="26195"/>
    <cellStyle name="Normal 8 5 8" xfId="26196"/>
    <cellStyle name="Normal 8 5 8 2" xfId="26197"/>
    <cellStyle name="Normal 8 5 8 2 2" xfId="26198"/>
    <cellStyle name="Normal 8 5 8 2 2 2" xfId="26199"/>
    <cellStyle name="Normal 8 5 8 2 2 3" xfId="26200"/>
    <cellStyle name="Normal 8 5 8 2 3" xfId="26201"/>
    <cellStyle name="Normal 8 5 8 2 3 2" xfId="26202"/>
    <cellStyle name="Normal 8 5 8 2 4" xfId="26203"/>
    <cellStyle name="Normal 8 5 8 3" xfId="26204"/>
    <cellStyle name="Normal 8 5 8 3 2" xfId="26205"/>
    <cellStyle name="Normal 8 5 8 3 2 2" xfId="26206"/>
    <cellStyle name="Normal 8 5 8 3 3" xfId="26207"/>
    <cellStyle name="Normal 8 5 8 4" xfId="26208"/>
    <cellStyle name="Normal 8 5 8 4 2" xfId="26209"/>
    <cellStyle name="Normal 8 5 8 4 3" xfId="26210"/>
    <cellStyle name="Normal 8 5 8 5" xfId="26211"/>
    <cellStyle name="Normal 8 5 8 5 2" xfId="26212"/>
    <cellStyle name="Normal 8 5 8 6" xfId="26213"/>
    <cellStyle name="Normal 8 5 8 6 2" xfId="37099"/>
    <cellStyle name="Normal 8 5 8 7" xfId="26214"/>
    <cellStyle name="Normal 8 5 9" xfId="26215"/>
    <cellStyle name="Normal 8 5 9 2" xfId="26216"/>
    <cellStyle name="Normal 8 5 9 2 2" xfId="26217"/>
    <cellStyle name="Normal 8 5 9 2 2 2" xfId="26218"/>
    <cellStyle name="Normal 8 5 9 2 3" xfId="26219"/>
    <cellStyle name="Normal 8 5 9 3" xfId="26220"/>
    <cellStyle name="Normal 8 5 9 3 2" xfId="26221"/>
    <cellStyle name="Normal 8 5 9 4" xfId="26222"/>
    <cellStyle name="Normal 8 6" xfId="26223"/>
    <cellStyle name="Normal 8 6 10" xfId="26224"/>
    <cellStyle name="Normal 8 6 10 2" xfId="26225"/>
    <cellStyle name="Normal 8 6 10 2 2" xfId="26226"/>
    <cellStyle name="Normal 8 6 10 3" xfId="26227"/>
    <cellStyle name="Normal 8 6 11" xfId="26228"/>
    <cellStyle name="Normal 8 6 11 2" xfId="26229"/>
    <cellStyle name="Normal 8 6 12" xfId="26230"/>
    <cellStyle name="Normal 8 6 12 2" xfId="37100"/>
    <cellStyle name="Normal 8 6 13" xfId="26231"/>
    <cellStyle name="Normal 8 6 2" xfId="26232"/>
    <cellStyle name="Normal 8 6 2 10" xfId="26233"/>
    <cellStyle name="Normal 8 6 2 2" xfId="26234"/>
    <cellStyle name="Normal 8 6 2 2 2" xfId="26235"/>
    <cellStyle name="Normal 8 6 2 2 2 2" xfId="26236"/>
    <cellStyle name="Normal 8 6 2 2 2 2 2" xfId="26237"/>
    <cellStyle name="Normal 8 6 2 2 2 2 2 2" xfId="26238"/>
    <cellStyle name="Normal 8 6 2 2 2 2 2 2 2" xfId="26239"/>
    <cellStyle name="Normal 8 6 2 2 2 2 2 2 3" xfId="26240"/>
    <cellStyle name="Normal 8 6 2 2 2 2 2 3" xfId="26241"/>
    <cellStyle name="Normal 8 6 2 2 2 2 2 3 2" xfId="26242"/>
    <cellStyle name="Normal 8 6 2 2 2 2 2 4" xfId="26243"/>
    <cellStyle name="Normal 8 6 2 2 2 2 3" xfId="26244"/>
    <cellStyle name="Normal 8 6 2 2 2 2 3 2" xfId="26245"/>
    <cellStyle name="Normal 8 6 2 2 2 2 3 2 2" xfId="26246"/>
    <cellStyle name="Normal 8 6 2 2 2 2 3 3" xfId="26247"/>
    <cellStyle name="Normal 8 6 2 2 2 2 4" xfId="26248"/>
    <cellStyle name="Normal 8 6 2 2 2 2 4 2" xfId="26249"/>
    <cellStyle name="Normal 8 6 2 2 2 2 4 3" xfId="26250"/>
    <cellStyle name="Normal 8 6 2 2 2 2 5" xfId="26251"/>
    <cellStyle name="Normal 8 6 2 2 2 2 5 2" xfId="26252"/>
    <cellStyle name="Normal 8 6 2 2 2 2 6" xfId="26253"/>
    <cellStyle name="Normal 8 6 2 2 2 2 6 2" xfId="37101"/>
    <cellStyle name="Normal 8 6 2 2 2 2 7" xfId="26254"/>
    <cellStyle name="Normal 8 6 2 2 2 3" xfId="26255"/>
    <cellStyle name="Normal 8 6 2 2 2 3 2" xfId="26256"/>
    <cellStyle name="Normal 8 6 2 2 2 3 2 2" xfId="26257"/>
    <cellStyle name="Normal 8 6 2 2 2 3 2 2 2" xfId="26258"/>
    <cellStyle name="Normal 8 6 2 2 2 3 2 3" xfId="26259"/>
    <cellStyle name="Normal 8 6 2 2 2 3 3" xfId="26260"/>
    <cellStyle name="Normal 8 6 2 2 2 3 3 2" xfId="26261"/>
    <cellStyle name="Normal 8 6 2 2 2 3 4" xfId="26262"/>
    <cellStyle name="Normal 8 6 2 2 2 4" xfId="26263"/>
    <cellStyle name="Normal 8 6 2 2 2 4 2" xfId="26264"/>
    <cellStyle name="Normal 8 6 2 2 2 4 2 2" xfId="26265"/>
    <cellStyle name="Normal 8 6 2 2 2 4 3" xfId="26266"/>
    <cellStyle name="Normal 8 6 2 2 2 5" xfId="26267"/>
    <cellStyle name="Normal 8 6 2 2 2 5 2" xfId="26268"/>
    <cellStyle name="Normal 8 6 2 2 2 5 2 2" xfId="26269"/>
    <cellStyle name="Normal 8 6 2 2 2 5 3" xfId="26270"/>
    <cellStyle name="Normal 8 6 2 2 2 6" xfId="26271"/>
    <cellStyle name="Normal 8 6 2 2 2 6 2" xfId="26272"/>
    <cellStyle name="Normal 8 6 2 2 2 7" xfId="26273"/>
    <cellStyle name="Normal 8 6 2 2 2 7 2" xfId="37102"/>
    <cellStyle name="Normal 8 6 2 2 2 8" xfId="26274"/>
    <cellStyle name="Normal 8 6 2 2 3" xfId="26275"/>
    <cellStyle name="Normal 8 6 2 2 3 2" xfId="26276"/>
    <cellStyle name="Normal 8 6 2 2 3 2 2" xfId="26277"/>
    <cellStyle name="Normal 8 6 2 2 3 2 2 2" xfId="26278"/>
    <cellStyle name="Normal 8 6 2 2 3 2 2 3" xfId="26279"/>
    <cellStyle name="Normal 8 6 2 2 3 2 3" xfId="26280"/>
    <cellStyle name="Normal 8 6 2 2 3 2 3 2" xfId="26281"/>
    <cellStyle name="Normal 8 6 2 2 3 2 4" xfId="26282"/>
    <cellStyle name="Normal 8 6 2 2 3 3" xfId="26283"/>
    <cellStyle name="Normal 8 6 2 2 3 3 2" xfId="26284"/>
    <cellStyle name="Normal 8 6 2 2 3 3 2 2" xfId="26285"/>
    <cellStyle name="Normal 8 6 2 2 3 3 3" xfId="26286"/>
    <cellStyle name="Normal 8 6 2 2 3 4" xfId="26287"/>
    <cellStyle name="Normal 8 6 2 2 3 4 2" xfId="26288"/>
    <cellStyle name="Normal 8 6 2 2 3 4 3" xfId="26289"/>
    <cellStyle name="Normal 8 6 2 2 3 5" xfId="26290"/>
    <cellStyle name="Normal 8 6 2 2 3 5 2" xfId="26291"/>
    <cellStyle name="Normal 8 6 2 2 3 6" xfId="26292"/>
    <cellStyle name="Normal 8 6 2 2 3 6 2" xfId="37103"/>
    <cellStyle name="Normal 8 6 2 2 3 7" xfId="26293"/>
    <cellStyle name="Normal 8 6 2 2 4" xfId="26294"/>
    <cellStyle name="Normal 8 6 2 2 4 2" xfId="26295"/>
    <cellStyle name="Normal 8 6 2 2 4 2 2" xfId="26296"/>
    <cellStyle name="Normal 8 6 2 2 4 2 2 2" xfId="26297"/>
    <cellStyle name="Normal 8 6 2 2 4 2 3" xfId="26298"/>
    <cellStyle name="Normal 8 6 2 2 4 3" xfId="26299"/>
    <cellStyle name="Normal 8 6 2 2 4 3 2" xfId="26300"/>
    <cellStyle name="Normal 8 6 2 2 4 4" xfId="26301"/>
    <cellStyle name="Normal 8 6 2 2 5" xfId="26302"/>
    <cellStyle name="Normal 8 6 2 2 5 2" xfId="26303"/>
    <cellStyle name="Normal 8 6 2 2 5 2 2" xfId="26304"/>
    <cellStyle name="Normal 8 6 2 2 5 3" xfId="26305"/>
    <cellStyle name="Normal 8 6 2 2 6" xfId="26306"/>
    <cellStyle name="Normal 8 6 2 2 6 2" xfId="26307"/>
    <cellStyle name="Normal 8 6 2 2 6 2 2" xfId="26308"/>
    <cellStyle name="Normal 8 6 2 2 6 3" xfId="26309"/>
    <cellStyle name="Normal 8 6 2 2 7" xfId="26310"/>
    <cellStyle name="Normal 8 6 2 2 7 2" xfId="26311"/>
    <cellStyle name="Normal 8 6 2 2 8" xfId="26312"/>
    <cellStyle name="Normal 8 6 2 2 8 2" xfId="37104"/>
    <cellStyle name="Normal 8 6 2 2 9" xfId="26313"/>
    <cellStyle name="Normal 8 6 2 3" xfId="26314"/>
    <cellStyle name="Normal 8 6 2 3 2" xfId="26315"/>
    <cellStyle name="Normal 8 6 2 3 2 2" xfId="26316"/>
    <cellStyle name="Normal 8 6 2 3 2 2 2" xfId="26317"/>
    <cellStyle name="Normal 8 6 2 3 2 2 2 2" xfId="26318"/>
    <cellStyle name="Normal 8 6 2 3 2 2 2 3" xfId="26319"/>
    <cellStyle name="Normal 8 6 2 3 2 2 3" xfId="26320"/>
    <cellStyle name="Normal 8 6 2 3 2 2 3 2" xfId="26321"/>
    <cellStyle name="Normal 8 6 2 3 2 2 4" xfId="26322"/>
    <cellStyle name="Normal 8 6 2 3 2 3" xfId="26323"/>
    <cellStyle name="Normal 8 6 2 3 2 3 2" xfId="26324"/>
    <cellStyle name="Normal 8 6 2 3 2 3 2 2" xfId="26325"/>
    <cellStyle name="Normal 8 6 2 3 2 3 3" xfId="26326"/>
    <cellStyle name="Normal 8 6 2 3 2 4" xfId="26327"/>
    <cellStyle name="Normal 8 6 2 3 2 4 2" xfId="26328"/>
    <cellStyle name="Normal 8 6 2 3 2 4 3" xfId="26329"/>
    <cellStyle name="Normal 8 6 2 3 2 5" xfId="26330"/>
    <cellStyle name="Normal 8 6 2 3 2 5 2" xfId="26331"/>
    <cellStyle name="Normal 8 6 2 3 2 6" xfId="26332"/>
    <cellStyle name="Normal 8 6 2 3 2 6 2" xfId="37105"/>
    <cellStyle name="Normal 8 6 2 3 2 7" xfId="26333"/>
    <cellStyle name="Normal 8 6 2 3 3" xfId="26334"/>
    <cellStyle name="Normal 8 6 2 3 3 2" xfId="26335"/>
    <cellStyle name="Normal 8 6 2 3 3 2 2" xfId="26336"/>
    <cellStyle name="Normal 8 6 2 3 3 2 2 2" xfId="26337"/>
    <cellStyle name="Normal 8 6 2 3 3 2 3" xfId="26338"/>
    <cellStyle name="Normal 8 6 2 3 3 3" xfId="26339"/>
    <cellStyle name="Normal 8 6 2 3 3 3 2" xfId="26340"/>
    <cellStyle name="Normal 8 6 2 3 3 4" xfId="26341"/>
    <cellStyle name="Normal 8 6 2 3 4" xfId="26342"/>
    <cellStyle name="Normal 8 6 2 3 4 2" xfId="26343"/>
    <cellStyle name="Normal 8 6 2 3 4 2 2" xfId="26344"/>
    <cellStyle name="Normal 8 6 2 3 4 3" xfId="26345"/>
    <cellStyle name="Normal 8 6 2 3 5" xfId="26346"/>
    <cellStyle name="Normal 8 6 2 3 5 2" xfId="26347"/>
    <cellStyle name="Normal 8 6 2 3 5 2 2" xfId="26348"/>
    <cellStyle name="Normal 8 6 2 3 5 3" xfId="26349"/>
    <cellStyle name="Normal 8 6 2 3 6" xfId="26350"/>
    <cellStyle name="Normal 8 6 2 3 6 2" xfId="26351"/>
    <cellStyle name="Normal 8 6 2 3 7" xfId="26352"/>
    <cellStyle name="Normal 8 6 2 3 7 2" xfId="37106"/>
    <cellStyle name="Normal 8 6 2 3 8" xfId="26353"/>
    <cellStyle name="Normal 8 6 2 4" xfId="26354"/>
    <cellStyle name="Normal 8 6 2 4 2" xfId="26355"/>
    <cellStyle name="Normal 8 6 2 4 2 2" xfId="26356"/>
    <cellStyle name="Normal 8 6 2 4 2 2 2" xfId="26357"/>
    <cellStyle name="Normal 8 6 2 4 2 2 3" xfId="26358"/>
    <cellStyle name="Normal 8 6 2 4 2 3" xfId="26359"/>
    <cellStyle name="Normal 8 6 2 4 2 3 2" xfId="26360"/>
    <cellStyle name="Normal 8 6 2 4 2 4" xfId="26361"/>
    <cellStyle name="Normal 8 6 2 4 3" xfId="26362"/>
    <cellStyle name="Normal 8 6 2 4 3 2" xfId="26363"/>
    <cellStyle name="Normal 8 6 2 4 3 2 2" xfId="26364"/>
    <cellStyle name="Normal 8 6 2 4 3 3" xfId="26365"/>
    <cellStyle name="Normal 8 6 2 4 4" xfId="26366"/>
    <cellStyle name="Normal 8 6 2 4 4 2" xfId="26367"/>
    <cellStyle name="Normal 8 6 2 4 4 3" xfId="26368"/>
    <cellStyle name="Normal 8 6 2 4 5" xfId="26369"/>
    <cellStyle name="Normal 8 6 2 4 5 2" xfId="26370"/>
    <cellStyle name="Normal 8 6 2 4 6" xfId="26371"/>
    <cellStyle name="Normal 8 6 2 4 6 2" xfId="37107"/>
    <cellStyle name="Normal 8 6 2 4 7" xfId="26372"/>
    <cellStyle name="Normal 8 6 2 5" xfId="26373"/>
    <cellStyle name="Normal 8 6 2 5 2" xfId="26374"/>
    <cellStyle name="Normal 8 6 2 5 2 2" xfId="26375"/>
    <cellStyle name="Normal 8 6 2 5 2 2 2" xfId="26376"/>
    <cellStyle name="Normal 8 6 2 5 2 3" xfId="26377"/>
    <cellStyle name="Normal 8 6 2 5 3" xfId="26378"/>
    <cellStyle name="Normal 8 6 2 5 3 2" xfId="26379"/>
    <cellStyle name="Normal 8 6 2 5 4" xfId="26380"/>
    <cellStyle name="Normal 8 6 2 6" xfId="26381"/>
    <cellStyle name="Normal 8 6 2 6 2" xfId="26382"/>
    <cellStyle name="Normal 8 6 2 6 2 2" xfId="26383"/>
    <cellStyle name="Normal 8 6 2 6 3" xfId="26384"/>
    <cellStyle name="Normal 8 6 2 7" xfId="26385"/>
    <cellStyle name="Normal 8 6 2 7 2" xfId="26386"/>
    <cellStyle name="Normal 8 6 2 7 2 2" xfId="26387"/>
    <cellStyle name="Normal 8 6 2 7 3" xfId="26388"/>
    <cellStyle name="Normal 8 6 2 8" xfId="26389"/>
    <cellStyle name="Normal 8 6 2 8 2" xfId="26390"/>
    <cellStyle name="Normal 8 6 2 9" xfId="26391"/>
    <cellStyle name="Normal 8 6 2 9 2" xfId="37108"/>
    <cellStyle name="Normal 8 6 3" xfId="26392"/>
    <cellStyle name="Normal 8 6 3 2" xfId="26393"/>
    <cellStyle name="Normal 8 6 3 2 2" xfId="26394"/>
    <cellStyle name="Normal 8 6 3 2 2 2" xfId="26395"/>
    <cellStyle name="Normal 8 6 3 2 2 2 2" xfId="26396"/>
    <cellStyle name="Normal 8 6 3 2 2 2 2 2" xfId="26397"/>
    <cellStyle name="Normal 8 6 3 2 2 2 2 3" xfId="26398"/>
    <cellStyle name="Normal 8 6 3 2 2 2 3" xfId="26399"/>
    <cellStyle name="Normal 8 6 3 2 2 2 3 2" xfId="26400"/>
    <cellStyle name="Normal 8 6 3 2 2 2 4" xfId="26401"/>
    <cellStyle name="Normal 8 6 3 2 2 3" xfId="26402"/>
    <cellStyle name="Normal 8 6 3 2 2 3 2" xfId="26403"/>
    <cellStyle name="Normal 8 6 3 2 2 3 2 2" xfId="26404"/>
    <cellStyle name="Normal 8 6 3 2 2 3 3" xfId="26405"/>
    <cellStyle name="Normal 8 6 3 2 2 4" xfId="26406"/>
    <cellStyle name="Normal 8 6 3 2 2 4 2" xfId="26407"/>
    <cellStyle name="Normal 8 6 3 2 2 4 3" xfId="26408"/>
    <cellStyle name="Normal 8 6 3 2 2 5" xfId="26409"/>
    <cellStyle name="Normal 8 6 3 2 2 5 2" xfId="26410"/>
    <cellStyle name="Normal 8 6 3 2 2 6" xfId="26411"/>
    <cellStyle name="Normal 8 6 3 2 2 6 2" xfId="37109"/>
    <cellStyle name="Normal 8 6 3 2 2 7" xfId="26412"/>
    <cellStyle name="Normal 8 6 3 2 3" xfId="26413"/>
    <cellStyle name="Normal 8 6 3 2 3 2" xfId="26414"/>
    <cellStyle name="Normal 8 6 3 2 3 2 2" xfId="26415"/>
    <cellStyle name="Normal 8 6 3 2 3 2 2 2" xfId="26416"/>
    <cellStyle name="Normal 8 6 3 2 3 2 3" xfId="26417"/>
    <cellStyle name="Normal 8 6 3 2 3 3" xfId="26418"/>
    <cellStyle name="Normal 8 6 3 2 3 3 2" xfId="26419"/>
    <cellStyle name="Normal 8 6 3 2 3 4" xfId="26420"/>
    <cellStyle name="Normal 8 6 3 2 4" xfId="26421"/>
    <cellStyle name="Normal 8 6 3 2 4 2" xfId="26422"/>
    <cellStyle name="Normal 8 6 3 2 4 2 2" xfId="26423"/>
    <cellStyle name="Normal 8 6 3 2 4 3" xfId="26424"/>
    <cellStyle name="Normal 8 6 3 2 5" xfId="26425"/>
    <cellStyle name="Normal 8 6 3 2 5 2" xfId="26426"/>
    <cellStyle name="Normal 8 6 3 2 5 2 2" xfId="26427"/>
    <cellStyle name="Normal 8 6 3 2 5 3" xfId="26428"/>
    <cellStyle name="Normal 8 6 3 2 6" xfId="26429"/>
    <cellStyle name="Normal 8 6 3 2 6 2" xfId="26430"/>
    <cellStyle name="Normal 8 6 3 2 7" xfId="26431"/>
    <cellStyle name="Normal 8 6 3 2 7 2" xfId="37110"/>
    <cellStyle name="Normal 8 6 3 2 8" xfId="26432"/>
    <cellStyle name="Normal 8 6 3 3" xfId="26433"/>
    <cellStyle name="Normal 8 6 3 3 2" xfId="26434"/>
    <cellStyle name="Normal 8 6 3 3 2 2" xfId="26435"/>
    <cellStyle name="Normal 8 6 3 3 2 2 2" xfId="26436"/>
    <cellStyle name="Normal 8 6 3 3 2 2 3" xfId="26437"/>
    <cellStyle name="Normal 8 6 3 3 2 3" xfId="26438"/>
    <cellStyle name="Normal 8 6 3 3 2 3 2" xfId="26439"/>
    <cellStyle name="Normal 8 6 3 3 2 4" xfId="26440"/>
    <cellStyle name="Normal 8 6 3 3 3" xfId="26441"/>
    <cellStyle name="Normal 8 6 3 3 3 2" xfId="26442"/>
    <cellStyle name="Normal 8 6 3 3 3 2 2" xfId="26443"/>
    <cellStyle name="Normal 8 6 3 3 3 3" xfId="26444"/>
    <cellStyle name="Normal 8 6 3 3 4" xfId="26445"/>
    <cellStyle name="Normal 8 6 3 3 4 2" xfId="26446"/>
    <cellStyle name="Normal 8 6 3 3 4 3" xfId="26447"/>
    <cellStyle name="Normal 8 6 3 3 5" xfId="26448"/>
    <cellStyle name="Normal 8 6 3 3 5 2" xfId="26449"/>
    <cellStyle name="Normal 8 6 3 3 6" xfId="26450"/>
    <cellStyle name="Normal 8 6 3 3 6 2" xfId="37111"/>
    <cellStyle name="Normal 8 6 3 3 7" xfId="26451"/>
    <cellStyle name="Normal 8 6 3 4" xfId="26452"/>
    <cellStyle name="Normal 8 6 3 4 2" xfId="26453"/>
    <cellStyle name="Normal 8 6 3 4 2 2" xfId="26454"/>
    <cellStyle name="Normal 8 6 3 4 2 2 2" xfId="26455"/>
    <cellStyle name="Normal 8 6 3 4 2 3" xfId="26456"/>
    <cellStyle name="Normal 8 6 3 4 3" xfId="26457"/>
    <cellStyle name="Normal 8 6 3 4 3 2" xfId="26458"/>
    <cellStyle name="Normal 8 6 3 4 4" xfId="26459"/>
    <cellStyle name="Normal 8 6 3 5" xfId="26460"/>
    <cellStyle name="Normal 8 6 3 5 2" xfId="26461"/>
    <cellStyle name="Normal 8 6 3 5 2 2" xfId="26462"/>
    <cellStyle name="Normal 8 6 3 5 3" xfId="26463"/>
    <cellStyle name="Normal 8 6 3 6" xfId="26464"/>
    <cellStyle name="Normal 8 6 3 6 2" xfId="26465"/>
    <cellStyle name="Normal 8 6 3 6 2 2" xfId="26466"/>
    <cellStyle name="Normal 8 6 3 6 3" xfId="26467"/>
    <cellStyle name="Normal 8 6 3 7" xfId="26468"/>
    <cellStyle name="Normal 8 6 3 7 2" xfId="26469"/>
    <cellStyle name="Normal 8 6 3 8" xfId="26470"/>
    <cellStyle name="Normal 8 6 3 8 2" xfId="37112"/>
    <cellStyle name="Normal 8 6 3 9" xfId="26471"/>
    <cellStyle name="Normal 8 6 4" xfId="26472"/>
    <cellStyle name="Normal 8 6 4 2" xfId="26473"/>
    <cellStyle name="Normal 8 6 4 2 2" xfId="26474"/>
    <cellStyle name="Normal 8 6 4 2 2 2" xfId="26475"/>
    <cellStyle name="Normal 8 6 4 2 2 2 2" xfId="26476"/>
    <cellStyle name="Normal 8 6 4 2 2 2 3" xfId="26477"/>
    <cellStyle name="Normal 8 6 4 2 2 3" xfId="26478"/>
    <cellStyle name="Normal 8 6 4 2 2 3 2" xfId="26479"/>
    <cellStyle name="Normal 8 6 4 2 2 4" xfId="26480"/>
    <cellStyle name="Normal 8 6 4 2 3" xfId="26481"/>
    <cellStyle name="Normal 8 6 4 2 3 2" xfId="26482"/>
    <cellStyle name="Normal 8 6 4 2 3 2 2" xfId="26483"/>
    <cellStyle name="Normal 8 6 4 2 3 3" xfId="26484"/>
    <cellStyle name="Normal 8 6 4 2 4" xfId="26485"/>
    <cellStyle name="Normal 8 6 4 2 4 2" xfId="26486"/>
    <cellStyle name="Normal 8 6 4 2 4 3" xfId="26487"/>
    <cellStyle name="Normal 8 6 4 2 5" xfId="26488"/>
    <cellStyle name="Normal 8 6 4 2 5 2" xfId="26489"/>
    <cellStyle name="Normal 8 6 4 2 6" xfId="26490"/>
    <cellStyle name="Normal 8 6 4 2 6 2" xfId="37113"/>
    <cellStyle name="Normal 8 6 4 2 7" xfId="26491"/>
    <cellStyle name="Normal 8 6 4 3" xfId="26492"/>
    <cellStyle name="Normal 8 6 4 3 2" xfId="26493"/>
    <cellStyle name="Normal 8 6 4 3 2 2" xfId="26494"/>
    <cellStyle name="Normal 8 6 4 3 2 2 2" xfId="26495"/>
    <cellStyle name="Normal 8 6 4 3 2 3" xfId="26496"/>
    <cellStyle name="Normal 8 6 4 3 3" xfId="26497"/>
    <cellStyle name="Normal 8 6 4 3 3 2" xfId="26498"/>
    <cellStyle name="Normal 8 6 4 3 4" xfId="26499"/>
    <cellStyle name="Normal 8 6 4 4" xfId="26500"/>
    <cellStyle name="Normal 8 6 4 4 2" xfId="26501"/>
    <cellStyle name="Normal 8 6 4 4 2 2" xfId="26502"/>
    <cellStyle name="Normal 8 6 4 4 3" xfId="26503"/>
    <cellStyle name="Normal 8 6 4 5" xfId="26504"/>
    <cellStyle name="Normal 8 6 4 5 2" xfId="26505"/>
    <cellStyle name="Normal 8 6 4 5 2 2" xfId="26506"/>
    <cellStyle name="Normal 8 6 4 5 3" xfId="26507"/>
    <cellStyle name="Normal 8 6 4 6" xfId="26508"/>
    <cellStyle name="Normal 8 6 4 6 2" xfId="26509"/>
    <cellStyle name="Normal 8 6 4 7" xfId="26510"/>
    <cellStyle name="Normal 8 6 4 7 2" xfId="37114"/>
    <cellStyle name="Normal 8 6 4 8" xfId="26511"/>
    <cellStyle name="Normal 8 6 5" xfId="26512"/>
    <cellStyle name="Normal 8 6 5 2" xfId="26513"/>
    <cellStyle name="Normal 8 6 5 2 2" xfId="26514"/>
    <cellStyle name="Normal 8 6 5 2 2 2" xfId="26515"/>
    <cellStyle name="Normal 8 6 5 2 2 2 2" xfId="26516"/>
    <cellStyle name="Normal 8 6 5 2 2 2 3" xfId="26517"/>
    <cellStyle name="Normal 8 6 5 2 2 3" xfId="26518"/>
    <cellStyle name="Normal 8 6 5 2 2 3 2" xfId="26519"/>
    <cellStyle name="Normal 8 6 5 2 2 4" xfId="26520"/>
    <cellStyle name="Normal 8 6 5 2 3" xfId="26521"/>
    <cellStyle name="Normal 8 6 5 2 3 2" xfId="26522"/>
    <cellStyle name="Normal 8 6 5 2 3 2 2" xfId="26523"/>
    <cellStyle name="Normal 8 6 5 2 3 3" xfId="26524"/>
    <cellStyle name="Normal 8 6 5 2 4" xfId="26525"/>
    <cellStyle name="Normal 8 6 5 2 4 2" xfId="26526"/>
    <cellStyle name="Normal 8 6 5 2 4 3" xfId="26527"/>
    <cellStyle name="Normal 8 6 5 2 5" xfId="26528"/>
    <cellStyle name="Normal 8 6 5 2 5 2" xfId="26529"/>
    <cellStyle name="Normal 8 6 5 2 6" xfId="26530"/>
    <cellStyle name="Normal 8 6 5 2 6 2" xfId="37115"/>
    <cellStyle name="Normal 8 6 5 2 7" xfId="26531"/>
    <cellStyle name="Normal 8 6 5 3" xfId="26532"/>
    <cellStyle name="Normal 8 6 5 3 2" xfId="26533"/>
    <cellStyle name="Normal 8 6 5 3 2 2" xfId="26534"/>
    <cellStyle name="Normal 8 6 5 3 2 2 2" xfId="26535"/>
    <cellStyle name="Normal 8 6 5 3 2 3" xfId="26536"/>
    <cellStyle name="Normal 8 6 5 3 3" xfId="26537"/>
    <cellStyle name="Normal 8 6 5 3 3 2" xfId="26538"/>
    <cellStyle name="Normal 8 6 5 3 4" xfId="26539"/>
    <cellStyle name="Normal 8 6 5 4" xfId="26540"/>
    <cellStyle name="Normal 8 6 5 4 2" xfId="26541"/>
    <cellStyle name="Normal 8 6 5 4 2 2" xfId="26542"/>
    <cellStyle name="Normal 8 6 5 4 3" xfId="26543"/>
    <cellStyle name="Normal 8 6 5 5" xfId="26544"/>
    <cellStyle name="Normal 8 6 5 5 2" xfId="26545"/>
    <cellStyle name="Normal 8 6 5 5 2 2" xfId="26546"/>
    <cellStyle name="Normal 8 6 5 5 3" xfId="26547"/>
    <cellStyle name="Normal 8 6 5 6" xfId="26548"/>
    <cellStyle name="Normal 8 6 5 6 2" xfId="26549"/>
    <cellStyle name="Normal 8 6 5 7" xfId="26550"/>
    <cellStyle name="Normal 8 6 5 7 2" xfId="37116"/>
    <cellStyle name="Normal 8 6 5 8" xfId="26551"/>
    <cellStyle name="Normal 8 6 6" xfId="26552"/>
    <cellStyle name="Normal 8 6 7" xfId="26553"/>
    <cellStyle name="Normal 8 6 7 2" xfId="26554"/>
    <cellStyle name="Normal 8 6 7 2 2" xfId="26555"/>
    <cellStyle name="Normal 8 6 7 2 2 2" xfId="26556"/>
    <cellStyle name="Normal 8 6 7 2 2 3" xfId="26557"/>
    <cellStyle name="Normal 8 6 7 2 3" xfId="26558"/>
    <cellStyle name="Normal 8 6 7 2 3 2" xfId="26559"/>
    <cellStyle name="Normal 8 6 7 2 4" xfId="26560"/>
    <cellStyle name="Normal 8 6 7 3" xfId="26561"/>
    <cellStyle name="Normal 8 6 7 3 2" xfId="26562"/>
    <cellStyle name="Normal 8 6 7 3 2 2" xfId="26563"/>
    <cellStyle name="Normal 8 6 7 3 3" xfId="26564"/>
    <cellStyle name="Normal 8 6 7 4" xfId="26565"/>
    <cellStyle name="Normal 8 6 7 4 2" xfId="26566"/>
    <cellStyle name="Normal 8 6 7 4 3" xfId="26567"/>
    <cellStyle name="Normal 8 6 7 5" xfId="26568"/>
    <cellStyle name="Normal 8 6 7 5 2" xfId="26569"/>
    <cellStyle name="Normal 8 6 7 6" xfId="26570"/>
    <cellStyle name="Normal 8 6 7 6 2" xfId="37117"/>
    <cellStyle name="Normal 8 6 7 7" xfId="26571"/>
    <cellStyle name="Normal 8 6 8" xfId="26572"/>
    <cellStyle name="Normal 8 6 8 2" xfId="26573"/>
    <cellStyle name="Normal 8 6 8 2 2" xfId="26574"/>
    <cellStyle name="Normal 8 6 8 2 2 2" xfId="26575"/>
    <cellStyle name="Normal 8 6 8 2 3" xfId="26576"/>
    <cellStyle name="Normal 8 6 8 3" xfId="26577"/>
    <cellStyle name="Normal 8 6 8 3 2" xfId="26578"/>
    <cellStyle name="Normal 8 6 8 4" xfId="26579"/>
    <cellStyle name="Normal 8 6 9" xfId="26580"/>
    <cellStyle name="Normal 8 6 9 2" xfId="26581"/>
    <cellStyle name="Normal 8 6 9 2 2" xfId="26582"/>
    <cellStyle name="Normal 8 6 9 3" xfId="26583"/>
    <cellStyle name="Normal 8 7" xfId="26584"/>
    <cellStyle name="Normal 8 7 10" xfId="26585"/>
    <cellStyle name="Normal 8 7 2" xfId="26586"/>
    <cellStyle name="Normal 8 7 2 2" xfId="26587"/>
    <cellStyle name="Normal 8 7 2 2 2" xfId="26588"/>
    <cellStyle name="Normal 8 7 2 2 2 2" xfId="26589"/>
    <cellStyle name="Normal 8 7 2 2 2 2 2" xfId="26590"/>
    <cellStyle name="Normal 8 7 2 2 2 2 2 2" xfId="26591"/>
    <cellStyle name="Normal 8 7 2 2 2 2 2 3" xfId="26592"/>
    <cellStyle name="Normal 8 7 2 2 2 2 3" xfId="26593"/>
    <cellStyle name="Normal 8 7 2 2 2 2 3 2" xfId="26594"/>
    <cellStyle name="Normal 8 7 2 2 2 2 4" xfId="26595"/>
    <cellStyle name="Normal 8 7 2 2 2 3" xfId="26596"/>
    <cellStyle name="Normal 8 7 2 2 2 3 2" xfId="26597"/>
    <cellStyle name="Normal 8 7 2 2 2 3 2 2" xfId="26598"/>
    <cellStyle name="Normal 8 7 2 2 2 3 3" xfId="26599"/>
    <cellStyle name="Normal 8 7 2 2 2 4" xfId="26600"/>
    <cellStyle name="Normal 8 7 2 2 2 4 2" xfId="26601"/>
    <cellStyle name="Normal 8 7 2 2 2 4 3" xfId="26602"/>
    <cellStyle name="Normal 8 7 2 2 2 5" xfId="26603"/>
    <cellStyle name="Normal 8 7 2 2 2 5 2" xfId="26604"/>
    <cellStyle name="Normal 8 7 2 2 2 6" xfId="26605"/>
    <cellStyle name="Normal 8 7 2 2 2 6 2" xfId="37118"/>
    <cellStyle name="Normal 8 7 2 2 2 7" xfId="26606"/>
    <cellStyle name="Normal 8 7 2 2 3" xfId="26607"/>
    <cellStyle name="Normal 8 7 2 2 3 2" xfId="26608"/>
    <cellStyle name="Normal 8 7 2 2 3 2 2" xfId="26609"/>
    <cellStyle name="Normal 8 7 2 2 3 2 2 2" xfId="26610"/>
    <cellStyle name="Normal 8 7 2 2 3 2 3" xfId="26611"/>
    <cellStyle name="Normal 8 7 2 2 3 3" xfId="26612"/>
    <cellStyle name="Normal 8 7 2 2 3 3 2" xfId="26613"/>
    <cellStyle name="Normal 8 7 2 2 3 4" xfId="26614"/>
    <cellStyle name="Normal 8 7 2 2 4" xfId="26615"/>
    <cellStyle name="Normal 8 7 2 2 4 2" xfId="26616"/>
    <cellStyle name="Normal 8 7 2 2 4 2 2" xfId="26617"/>
    <cellStyle name="Normal 8 7 2 2 4 3" xfId="26618"/>
    <cellStyle name="Normal 8 7 2 2 5" xfId="26619"/>
    <cellStyle name="Normal 8 7 2 2 5 2" xfId="26620"/>
    <cellStyle name="Normal 8 7 2 2 5 2 2" xfId="26621"/>
    <cellStyle name="Normal 8 7 2 2 5 3" xfId="26622"/>
    <cellStyle name="Normal 8 7 2 2 6" xfId="26623"/>
    <cellStyle name="Normal 8 7 2 2 6 2" xfId="26624"/>
    <cellStyle name="Normal 8 7 2 2 7" xfId="26625"/>
    <cellStyle name="Normal 8 7 2 2 7 2" xfId="37119"/>
    <cellStyle name="Normal 8 7 2 2 8" xfId="26626"/>
    <cellStyle name="Normal 8 7 2 3" xfId="26627"/>
    <cellStyle name="Normal 8 7 2 3 2" xfId="26628"/>
    <cellStyle name="Normal 8 7 2 3 2 2" xfId="26629"/>
    <cellStyle name="Normal 8 7 2 3 2 2 2" xfId="26630"/>
    <cellStyle name="Normal 8 7 2 3 2 2 3" xfId="26631"/>
    <cellStyle name="Normal 8 7 2 3 2 3" xfId="26632"/>
    <cellStyle name="Normal 8 7 2 3 2 3 2" xfId="26633"/>
    <cellStyle name="Normal 8 7 2 3 2 4" xfId="26634"/>
    <cellStyle name="Normal 8 7 2 3 3" xfId="26635"/>
    <cellStyle name="Normal 8 7 2 3 3 2" xfId="26636"/>
    <cellStyle name="Normal 8 7 2 3 3 2 2" xfId="26637"/>
    <cellStyle name="Normal 8 7 2 3 3 3" xfId="26638"/>
    <cellStyle name="Normal 8 7 2 3 4" xfId="26639"/>
    <cellStyle name="Normal 8 7 2 3 4 2" xfId="26640"/>
    <cellStyle name="Normal 8 7 2 3 4 3" xfId="26641"/>
    <cellStyle name="Normal 8 7 2 3 5" xfId="26642"/>
    <cellStyle name="Normal 8 7 2 3 5 2" xfId="26643"/>
    <cellStyle name="Normal 8 7 2 3 6" xfId="26644"/>
    <cellStyle name="Normal 8 7 2 3 6 2" xfId="37120"/>
    <cellStyle name="Normal 8 7 2 3 7" xfId="26645"/>
    <cellStyle name="Normal 8 7 2 4" xfId="26646"/>
    <cellStyle name="Normal 8 7 2 4 2" xfId="26647"/>
    <cellStyle name="Normal 8 7 2 4 2 2" xfId="26648"/>
    <cellStyle name="Normal 8 7 2 4 2 2 2" xfId="26649"/>
    <cellStyle name="Normal 8 7 2 4 2 3" xfId="26650"/>
    <cellStyle name="Normal 8 7 2 4 3" xfId="26651"/>
    <cellStyle name="Normal 8 7 2 4 3 2" xfId="26652"/>
    <cellStyle name="Normal 8 7 2 4 4" xfId="26653"/>
    <cellStyle name="Normal 8 7 2 5" xfId="26654"/>
    <cellStyle name="Normal 8 7 2 5 2" xfId="26655"/>
    <cellStyle name="Normal 8 7 2 5 2 2" xfId="26656"/>
    <cellStyle name="Normal 8 7 2 5 3" xfId="26657"/>
    <cellStyle name="Normal 8 7 2 6" xfId="26658"/>
    <cellStyle name="Normal 8 7 2 6 2" xfId="26659"/>
    <cellStyle name="Normal 8 7 2 6 2 2" xfId="26660"/>
    <cellStyle name="Normal 8 7 2 6 3" xfId="26661"/>
    <cellStyle name="Normal 8 7 2 7" xfId="26662"/>
    <cellStyle name="Normal 8 7 2 7 2" xfId="26663"/>
    <cellStyle name="Normal 8 7 2 8" xfId="26664"/>
    <cellStyle name="Normal 8 7 2 8 2" xfId="37121"/>
    <cellStyle name="Normal 8 7 2 9" xfId="26665"/>
    <cellStyle name="Normal 8 7 3" xfId="26666"/>
    <cellStyle name="Normal 8 7 3 2" xfId="26667"/>
    <cellStyle name="Normal 8 7 3 2 2" xfId="26668"/>
    <cellStyle name="Normal 8 7 3 2 2 2" xfId="26669"/>
    <cellStyle name="Normal 8 7 3 2 2 2 2" xfId="26670"/>
    <cellStyle name="Normal 8 7 3 2 2 2 3" xfId="26671"/>
    <cellStyle name="Normal 8 7 3 2 2 3" xfId="26672"/>
    <cellStyle name="Normal 8 7 3 2 2 3 2" xfId="26673"/>
    <cellStyle name="Normal 8 7 3 2 2 4" xfId="26674"/>
    <cellStyle name="Normal 8 7 3 2 3" xfId="26675"/>
    <cellStyle name="Normal 8 7 3 2 3 2" xfId="26676"/>
    <cellStyle name="Normal 8 7 3 2 3 2 2" xfId="26677"/>
    <cellStyle name="Normal 8 7 3 2 3 3" xfId="26678"/>
    <cellStyle name="Normal 8 7 3 2 4" xfId="26679"/>
    <cellStyle name="Normal 8 7 3 2 4 2" xfId="26680"/>
    <cellStyle name="Normal 8 7 3 2 4 3" xfId="26681"/>
    <cellStyle name="Normal 8 7 3 2 5" xfId="26682"/>
    <cellStyle name="Normal 8 7 3 2 5 2" xfId="26683"/>
    <cellStyle name="Normal 8 7 3 2 6" xfId="26684"/>
    <cellStyle name="Normal 8 7 3 2 6 2" xfId="37122"/>
    <cellStyle name="Normal 8 7 3 2 7" xfId="26685"/>
    <cellStyle name="Normal 8 7 3 3" xfId="26686"/>
    <cellStyle name="Normal 8 7 3 3 2" xfId="26687"/>
    <cellStyle name="Normal 8 7 3 3 2 2" xfId="26688"/>
    <cellStyle name="Normal 8 7 3 3 2 2 2" xfId="26689"/>
    <cellStyle name="Normal 8 7 3 3 2 3" xfId="26690"/>
    <cellStyle name="Normal 8 7 3 3 3" xfId="26691"/>
    <cellStyle name="Normal 8 7 3 3 3 2" xfId="26692"/>
    <cellStyle name="Normal 8 7 3 3 4" xfId="26693"/>
    <cellStyle name="Normal 8 7 3 4" xfId="26694"/>
    <cellStyle name="Normal 8 7 3 4 2" xfId="26695"/>
    <cellStyle name="Normal 8 7 3 4 2 2" xfId="26696"/>
    <cellStyle name="Normal 8 7 3 4 3" xfId="26697"/>
    <cellStyle name="Normal 8 7 3 5" xfId="26698"/>
    <cellStyle name="Normal 8 7 3 5 2" xfId="26699"/>
    <cellStyle name="Normal 8 7 3 5 2 2" xfId="26700"/>
    <cellStyle name="Normal 8 7 3 5 3" xfId="26701"/>
    <cellStyle name="Normal 8 7 3 6" xfId="26702"/>
    <cellStyle name="Normal 8 7 3 6 2" xfId="26703"/>
    <cellStyle name="Normal 8 7 3 7" xfId="26704"/>
    <cellStyle name="Normal 8 7 3 7 2" xfId="37123"/>
    <cellStyle name="Normal 8 7 3 8" xfId="26705"/>
    <cellStyle name="Normal 8 7 4" xfId="26706"/>
    <cellStyle name="Normal 8 7 4 2" xfId="26707"/>
    <cellStyle name="Normal 8 7 4 2 2" xfId="26708"/>
    <cellStyle name="Normal 8 7 4 2 2 2" xfId="26709"/>
    <cellStyle name="Normal 8 7 4 2 2 3" xfId="26710"/>
    <cellStyle name="Normal 8 7 4 2 3" xfId="26711"/>
    <cellStyle name="Normal 8 7 4 2 3 2" xfId="26712"/>
    <cellStyle name="Normal 8 7 4 2 4" xfId="26713"/>
    <cellStyle name="Normal 8 7 4 3" xfId="26714"/>
    <cellStyle name="Normal 8 7 4 3 2" xfId="26715"/>
    <cellStyle name="Normal 8 7 4 3 2 2" xfId="26716"/>
    <cellStyle name="Normal 8 7 4 3 3" xfId="26717"/>
    <cellStyle name="Normal 8 7 4 4" xfId="26718"/>
    <cellStyle name="Normal 8 7 4 4 2" xfId="26719"/>
    <cellStyle name="Normal 8 7 4 4 3" xfId="26720"/>
    <cellStyle name="Normal 8 7 4 5" xfId="26721"/>
    <cellStyle name="Normal 8 7 4 5 2" xfId="26722"/>
    <cellStyle name="Normal 8 7 4 6" xfId="26723"/>
    <cellStyle name="Normal 8 7 4 6 2" xfId="37124"/>
    <cellStyle name="Normal 8 7 4 7" xfId="26724"/>
    <cellStyle name="Normal 8 7 5" xfId="26725"/>
    <cellStyle name="Normal 8 7 5 2" xfId="26726"/>
    <cellStyle name="Normal 8 7 5 2 2" xfId="26727"/>
    <cellStyle name="Normal 8 7 5 2 2 2" xfId="26728"/>
    <cellStyle name="Normal 8 7 5 2 3" xfId="26729"/>
    <cellStyle name="Normal 8 7 5 3" xfId="26730"/>
    <cellStyle name="Normal 8 7 5 3 2" xfId="26731"/>
    <cellStyle name="Normal 8 7 5 4" xfId="26732"/>
    <cellStyle name="Normal 8 7 6" xfId="26733"/>
    <cellStyle name="Normal 8 7 6 2" xfId="26734"/>
    <cellStyle name="Normal 8 7 6 2 2" xfId="26735"/>
    <cellStyle name="Normal 8 7 6 3" xfId="26736"/>
    <cellStyle name="Normal 8 7 7" xfId="26737"/>
    <cellStyle name="Normal 8 7 7 2" xfId="26738"/>
    <cellStyle name="Normal 8 7 7 2 2" xfId="26739"/>
    <cellStyle name="Normal 8 7 7 3" xfId="26740"/>
    <cellStyle name="Normal 8 7 8" xfId="26741"/>
    <cellStyle name="Normal 8 7 8 2" xfId="26742"/>
    <cellStyle name="Normal 8 7 9" xfId="26743"/>
    <cellStyle name="Normal 8 7 9 2" xfId="37125"/>
    <cellStyle name="Normal 8 8" xfId="26744"/>
    <cellStyle name="Normal 8 8 2" xfId="26745"/>
    <cellStyle name="Normal 8 8 2 2" xfId="26746"/>
    <cellStyle name="Normal 8 8 2 2 2" xfId="26747"/>
    <cellStyle name="Normal 8 8 2 2 2 2" xfId="26748"/>
    <cellStyle name="Normal 8 8 2 2 2 2 2" xfId="26749"/>
    <cellStyle name="Normal 8 8 2 2 2 2 3" xfId="26750"/>
    <cellStyle name="Normal 8 8 2 2 2 3" xfId="26751"/>
    <cellStyle name="Normal 8 8 2 2 2 3 2" xfId="26752"/>
    <cellStyle name="Normal 8 8 2 2 2 4" xfId="26753"/>
    <cellStyle name="Normal 8 8 2 2 3" xfId="26754"/>
    <cellStyle name="Normal 8 8 2 2 3 2" xfId="26755"/>
    <cellStyle name="Normal 8 8 2 2 3 2 2" xfId="26756"/>
    <cellStyle name="Normal 8 8 2 2 3 3" xfId="26757"/>
    <cellStyle name="Normal 8 8 2 2 4" xfId="26758"/>
    <cellStyle name="Normal 8 8 2 2 4 2" xfId="26759"/>
    <cellStyle name="Normal 8 8 2 2 4 3" xfId="26760"/>
    <cellStyle name="Normal 8 8 2 2 5" xfId="26761"/>
    <cellStyle name="Normal 8 8 2 2 5 2" xfId="26762"/>
    <cellStyle name="Normal 8 8 2 2 6" xfId="26763"/>
    <cellStyle name="Normal 8 8 2 2 6 2" xfId="37126"/>
    <cellStyle name="Normal 8 8 2 2 7" xfId="26764"/>
    <cellStyle name="Normal 8 8 2 3" xfId="26765"/>
    <cellStyle name="Normal 8 8 2 3 2" xfId="26766"/>
    <cellStyle name="Normal 8 8 2 3 2 2" xfId="26767"/>
    <cellStyle name="Normal 8 8 2 3 2 2 2" xfId="26768"/>
    <cellStyle name="Normal 8 8 2 3 2 3" xfId="26769"/>
    <cellStyle name="Normal 8 8 2 3 3" xfId="26770"/>
    <cellStyle name="Normal 8 8 2 3 3 2" xfId="26771"/>
    <cellStyle name="Normal 8 8 2 3 4" xfId="26772"/>
    <cellStyle name="Normal 8 8 2 4" xfId="26773"/>
    <cellStyle name="Normal 8 8 2 4 2" xfId="26774"/>
    <cellStyle name="Normal 8 8 2 4 2 2" xfId="26775"/>
    <cellStyle name="Normal 8 8 2 4 3" xfId="26776"/>
    <cellStyle name="Normal 8 8 2 5" xfId="26777"/>
    <cellStyle name="Normal 8 8 2 5 2" xfId="26778"/>
    <cellStyle name="Normal 8 8 2 5 2 2" xfId="26779"/>
    <cellStyle name="Normal 8 8 2 5 3" xfId="26780"/>
    <cellStyle name="Normal 8 8 2 6" xfId="26781"/>
    <cellStyle name="Normal 8 8 2 6 2" xfId="26782"/>
    <cellStyle name="Normal 8 8 2 7" xfId="26783"/>
    <cellStyle name="Normal 8 8 2 7 2" xfId="37127"/>
    <cellStyle name="Normal 8 8 2 8" xfId="26784"/>
    <cellStyle name="Normal 8 8 3" xfId="26785"/>
    <cellStyle name="Normal 8 8 3 2" xfId="26786"/>
    <cellStyle name="Normal 8 8 3 2 2" xfId="26787"/>
    <cellStyle name="Normal 8 8 3 2 2 2" xfId="26788"/>
    <cellStyle name="Normal 8 8 3 2 2 3" xfId="26789"/>
    <cellStyle name="Normal 8 8 3 2 3" xfId="26790"/>
    <cellStyle name="Normal 8 8 3 2 3 2" xfId="26791"/>
    <cellStyle name="Normal 8 8 3 2 4" xfId="26792"/>
    <cellStyle name="Normal 8 8 3 3" xfId="26793"/>
    <cellStyle name="Normal 8 8 3 3 2" xfId="26794"/>
    <cellStyle name="Normal 8 8 3 3 2 2" xfId="26795"/>
    <cellStyle name="Normal 8 8 3 3 3" xfId="26796"/>
    <cellStyle name="Normal 8 8 3 4" xfId="26797"/>
    <cellStyle name="Normal 8 8 3 4 2" xfId="26798"/>
    <cellStyle name="Normal 8 8 3 4 3" xfId="26799"/>
    <cellStyle name="Normal 8 8 3 5" xfId="26800"/>
    <cellStyle name="Normal 8 8 3 5 2" xfId="26801"/>
    <cellStyle name="Normal 8 8 3 6" xfId="26802"/>
    <cellStyle name="Normal 8 8 3 6 2" xfId="37128"/>
    <cellStyle name="Normal 8 8 3 7" xfId="26803"/>
    <cellStyle name="Normal 8 8 4" xfId="26804"/>
    <cellStyle name="Normal 8 8 4 2" xfId="26805"/>
    <cellStyle name="Normal 8 8 4 2 2" xfId="26806"/>
    <cellStyle name="Normal 8 8 4 2 2 2" xfId="26807"/>
    <cellStyle name="Normal 8 8 4 2 3" xfId="26808"/>
    <cellStyle name="Normal 8 8 4 3" xfId="26809"/>
    <cellStyle name="Normal 8 8 4 3 2" xfId="26810"/>
    <cellStyle name="Normal 8 8 4 4" xfId="26811"/>
    <cellStyle name="Normal 8 8 5" xfId="26812"/>
    <cellStyle name="Normal 8 8 5 2" xfId="26813"/>
    <cellStyle name="Normal 8 8 5 2 2" xfId="26814"/>
    <cellStyle name="Normal 8 8 5 3" xfId="26815"/>
    <cellStyle name="Normal 8 8 6" xfId="26816"/>
    <cellStyle name="Normal 8 8 6 2" xfId="26817"/>
    <cellStyle name="Normal 8 8 6 2 2" xfId="26818"/>
    <cellStyle name="Normal 8 8 6 3" xfId="26819"/>
    <cellStyle name="Normal 8 8 7" xfId="26820"/>
    <cellStyle name="Normal 8 8 7 2" xfId="26821"/>
    <cellStyle name="Normal 8 8 8" xfId="26822"/>
    <cellStyle name="Normal 8 8 8 2" xfId="37129"/>
    <cellStyle name="Normal 8 8 9" xfId="26823"/>
    <cellStyle name="Normal 8 9" xfId="26824"/>
    <cellStyle name="Normal 8 9 2" xfId="26825"/>
    <cellStyle name="Normal 8 9 2 2" xfId="26826"/>
    <cellStyle name="Normal 8 9 2 2 2" xfId="26827"/>
    <cellStyle name="Normal 8 9 2 2 2 2" xfId="26828"/>
    <cellStyle name="Normal 8 9 2 2 2 2 2" xfId="26829"/>
    <cellStyle name="Normal 8 9 2 2 2 2 3" xfId="26830"/>
    <cellStyle name="Normal 8 9 2 2 2 3" xfId="26831"/>
    <cellStyle name="Normal 8 9 2 2 2 3 2" xfId="26832"/>
    <cellStyle name="Normal 8 9 2 2 2 4" xfId="26833"/>
    <cellStyle name="Normal 8 9 2 2 3" xfId="26834"/>
    <cellStyle name="Normal 8 9 2 2 3 2" xfId="26835"/>
    <cellStyle name="Normal 8 9 2 2 3 2 2" xfId="26836"/>
    <cellStyle name="Normal 8 9 2 2 3 3" xfId="26837"/>
    <cellStyle name="Normal 8 9 2 2 4" xfId="26838"/>
    <cellStyle name="Normal 8 9 2 2 4 2" xfId="26839"/>
    <cellStyle name="Normal 8 9 2 2 4 3" xfId="26840"/>
    <cellStyle name="Normal 8 9 2 2 5" xfId="26841"/>
    <cellStyle name="Normal 8 9 2 2 5 2" xfId="26842"/>
    <cellStyle name="Normal 8 9 2 2 6" xfId="26843"/>
    <cellStyle name="Normal 8 9 2 2 6 2" xfId="37130"/>
    <cellStyle name="Normal 8 9 2 2 7" xfId="26844"/>
    <cellStyle name="Normal 8 9 2 3" xfId="26845"/>
    <cellStyle name="Normal 8 9 2 3 2" xfId="26846"/>
    <cellStyle name="Normal 8 9 2 3 2 2" xfId="26847"/>
    <cellStyle name="Normal 8 9 2 3 2 2 2" xfId="26848"/>
    <cellStyle name="Normal 8 9 2 3 2 3" xfId="26849"/>
    <cellStyle name="Normal 8 9 2 3 3" xfId="26850"/>
    <cellStyle name="Normal 8 9 2 3 3 2" xfId="26851"/>
    <cellStyle name="Normal 8 9 2 3 4" xfId="26852"/>
    <cellStyle name="Normal 8 9 2 4" xfId="26853"/>
    <cellStyle name="Normal 8 9 2 4 2" xfId="26854"/>
    <cellStyle name="Normal 8 9 2 4 2 2" xfId="26855"/>
    <cellStyle name="Normal 8 9 2 4 3" xfId="26856"/>
    <cellStyle name="Normal 8 9 2 5" xfId="26857"/>
    <cellStyle name="Normal 8 9 2 5 2" xfId="26858"/>
    <cellStyle name="Normal 8 9 2 5 2 2" xfId="26859"/>
    <cellStyle name="Normal 8 9 2 5 3" xfId="26860"/>
    <cellStyle name="Normal 8 9 2 6" xfId="26861"/>
    <cellStyle name="Normal 8 9 2 6 2" xfId="26862"/>
    <cellStyle name="Normal 8 9 2 7" xfId="26863"/>
    <cellStyle name="Normal 8 9 2 7 2" xfId="37131"/>
    <cellStyle name="Normal 8 9 2 8" xfId="26864"/>
    <cellStyle name="Normal 8 9 3" xfId="26865"/>
    <cellStyle name="Normal 8 9 3 2" xfId="26866"/>
    <cellStyle name="Normal 8 9 3 2 2" xfId="26867"/>
    <cellStyle name="Normal 8 9 3 2 2 2" xfId="26868"/>
    <cellStyle name="Normal 8 9 3 2 2 3" xfId="26869"/>
    <cellStyle name="Normal 8 9 3 2 3" xfId="26870"/>
    <cellStyle name="Normal 8 9 3 2 3 2" xfId="26871"/>
    <cellStyle name="Normal 8 9 3 2 4" xfId="26872"/>
    <cellStyle name="Normal 8 9 3 3" xfId="26873"/>
    <cellStyle name="Normal 8 9 3 3 2" xfId="26874"/>
    <cellStyle name="Normal 8 9 3 3 2 2" xfId="26875"/>
    <cellStyle name="Normal 8 9 3 3 3" xfId="26876"/>
    <cellStyle name="Normal 8 9 3 4" xfId="26877"/>
    <cellStyle name="Normal 8 9 3 4 2" xfId="26878"/>
    <cellStyle name="Normal 8 9 3 4 3" xfId="26879"/>
    <cellStyle name="Normal 8 9 3 5" xfId="26880"/>
    <cellStyle name="Normal 8 9 3 5 2" xfId="26881"/>
    <cellStyle name="Normal 8 9 3 6" xfId="26882"/>
    <cellStyle name="Normal 8 9 3 6 2" xfId="37132"/>
    <cellStyle name="Normal 8 9 3 7" xfId="26883"/>
    <cellStyle name="Normal 8 9 4" xfId="26884"/>
    <cellStyle name="Normal 8 9 4 2" xfId="26885"/>
    <cellStyle name="Normal 8 9 4 2 2" xfId="26886"/>
    <cellStyle name="Normal 8 9 4 2 2 2" xfId="26887"/>
    <cellStyle name="Normal 8 9 4 2 3" xfId="26888"/>
    <cellStyle name="Normal 8 9 4 3" xfId="26889"/>
    <cellStyle name="Normal 8 9 4 3 2" xfId="26890"/>
    <cellStyle name="Normal 8 9 4 4" xfId="26891"/>
    <cellStyle name="Normal 8 9 5" xfId="26892"/>
    <cellStyle name="Normal 8 9 5 2" xfId="26893"/>
    <cellStyle name="Normal 8 9 5 2 2" xfId="26894"/>
    <cellStyle name="Normal 8 9 5 3" xfId="26895"/>
    <cellStyle name="Normal 8 9 6" xfId="26896"/>
    <cellStyle name="Normal 8 9 6 2" xfId="26897"/>
    <cellStyle name="Normal 8 9 6 2 2" xfId="26898"/>
    <cellStyle name="Normal 8 9 6 3" xfId="26899"/>
    <cellStyle name="Normal 8 9 7" xfId="26900"/>
    <cellStyle name="Normal 8 9 7 2" xfId="26901"/>
    <cellStyle name="Normal 8 9 8" xfId="26902"/>
    <cellStyle name="Normal 8 9 8 2" xfId="37133"/>
    <cellStyle name="Normal 8 9 9" xfId="26903"/>
    <cellStyle name="Normal 9" xfId="26904"/>
    <cellStyle name="Normal 9 2" xfId="26905"/>
    <cellStyle name="Normal_Appendix 1 - LMS100 PA" xfId="37759"/>
    <cellStyle name="Normal_AWC Wind Levelized Cost_test" xfId="131"/>
    <cellStyle name="Normal_AWC Wind Levelized Cost_test 2" xfId="37768"/>
    <cellStyle name="Normal_CCR_07-20-05" xfId="132"/>
    <cellStyle name="Normal_Cost_to_Start1" xfId="37760"/>
    <cellStyle name="Normal_S&amp;L Demand Curve cases 11-11-10_inputs to NERA for rept_" xfId="37758"/>
    <cellStyle name="Note" xfId="133" builtinId="10" customBuiltin="1"/>
    <cellStyle name="Note 2" xfId="134"/>
    <cellStyle name="Note 2 10" xfId="26906"/>
    <cellStyle name="Note 2 11" xfId="37853"/>
    <cellStyle name="Note 2 2" xfId="135"/>
    <cellStyle name="Note 2 2 2" xfId="37854"/>
    <cellStyle name="Note 2 3" xfId="26907"/>
    <cellStyle name="Note 2 4" xfId="26908"/>
    <cellStyle name="Note 2 5" xfId="26909"/>
    <cellStyle name="Note 2 6" xfId="26910"/>
    <cellStyle name="Note 2 7" xfId="26911"/>
    <cellStyle name="Note 2 8" xfId="26912"/>
    <cellStyle name="Note 2 9" xfId="26913"/>
    <cellStyle name="Note 3" xfId="37704"/>
    <cellStyle name="Note 4" xfId="37705"/>
    <cellStyle name="Note 5" xfId="37706"/>
    <cellStyle name="Note 6" xfId="37855"/>
    <cellStyle name="Number no Dec" xfId="136"/>
    <cellStyle name="Number no Dec 2" xfId="137"/>
    <cellStyle name="Number no Dec 3" xfId="138"/>
    <cellStyle name="Number no Dec 4" xfId="139"/>
    <cellStyle name="Number no Dec_Controls" xfId="140"/>
    <cellStyle name="OBI_ColHeader" xfId="37856"/>
    <cellStyle name="Okadata" xfId="26914"/>
    <cellStyle name="Output" xfId="141" builtinId="21" customBuiltin="1"/>
    <cellStyle name="Output 2" xfId="26915"/>
    <cellStyle name="Output 3" xfId="37707"/>
    <cellStyle name="Output 4" xfId="37708"/>
    <cellStyle name="Output 5" xfId="37709"/>
    <cellStyle name="Output 6" xfId="37857"/>
    <cellStyle name="Paragraph text" xfId="142"/>
    <cellStyle name="pchya" xfId="143"/>
    <cellStyle name="Percent" xfId="144" builtinId="5"/>
    <cellStyle name="Percent 10" xfId="145"/>
    <cellStyle name="Percent 10 2" xfId="37882"/>
    <cellStyle name="Percent 11" xfId="146"/>
    <cellStyle name="Percent 12" xfId="147"/>
    <cellStyle name="Percent 13" xfId="148"/>
    <cellStyle name="Percent 14" xfId="149"/>
    <cellStyle name="Percent 15" xfId="37579"/>
    <cellStyle name="Percent 16" xfId="37762"/>
    <cellStyle name="Percent 17" xfId="37770"/>
    <cellStyle name="Percent 18" xfId="37883"/>
    <cellStyle name="Percent 2" xfId="150"/>
    <cellStyle name="Percent 2 10" xfId="26916"/>
    <cellStyle name="Percent 2 10 2" xfId="26917"/>
    <cellStyle name="Percent 2 10 2 2" xfId="26918"/>
    <cellStyle name="Percent 2 10 2 2 2" xfId="26919"/>
    <cellStyle name="Percent 2 10 2 2 2 2" xfId="26920"/>
    <cellStyle name="Percent 2 10 2 2 2 3" xfId="26921"/>
    <cellStyle name="Percent 2 10 2 2 3" xfId="26922"/>
    <cellStyle name="Percent 2 10 2 2 3 2" xfId="26923"/>
    <cellStyle name="Percent 2 10 2 2 4" xfId="26924"/>
    <cellStyle name="Percent 2 10 2 3" xfId="26925"/>
    <cellStyle name="Percent 2 10 2 3 2" xfId="26926"/>
    <cellStyle name="Percent 2 10 2 3 2 2" xfId="26927"/>
    <cellStyle name="Percent 2 10 2 3 3" xfId="26928"/>
    <cellStyle name="Percent 2 10 2 4" xfId="26929"/>
    <cellStyle name="Percent 2 10 2 4 2" xfId="26930"/>
    <cellStyle name="Percent 2 10 2 4 3" xfId="26931"/>
    <cellStyle name="Percent 2 10 2 5" xfId="26932"/>
    <cellStyle name="Percent 2 10 2 5 2" xfId="26933"/>
    <cellStyle name="Percent 2 10 2 6" xfId="26934"/>
    <cellStyle name="Percent 2 10 2 6 2" xfId="37134"/>
    <cellStyle name="Percent 2 10 2 7" xfId="26935"/>
    <cellStyle name="Percent 2 10 3" xfId="26936"/>
    <cellStyle name="Percent 2 10 3 2" xfId="26937"/>
    <cellStyle name="Percent 2 10 3 2 2" xfId="26938"/>
    <cellStyle name="Percent 2 10 3 2 2 2" xfId="26939"/>
    <cellStyle name="Percent 2 10 3 2 3" xfId="26940"/>
    <cellStyle name="Percent 2 10 3 3" xfId="26941"/>
    <cellStyle name="Percent 2 10 3 3 2" xfId="26942"/>
    <cellStyle name="Percent 2 10 3 4" xfId="26943"/>
    <cellStyle name="Percent 2 10 4" xfId="26944"/>
    <cellStyle name="Percent 2 10 4 2" xfId="26945"/>
    <cellStyle name="Percent 2 10 4 2 2" xfId="26946"/>
    <cellStyle name="Percent 2 10 4 3" xfId="26947"/>
    <cellStyle name="Percent 2 10 5" xfId="26948"/>
    <cellStyle name="Percent 2 10 5 2" xfId="26949"/>
    <cellStyle name="Percent 2 10 5 2 2" xfId="26950"/>
    <cellStyle name="Percent 2 10 5 3" xfId="26951"/>
    <cellStyle name="Percent 2 10 6" xfId="26952"/>
    <cellStyle name="Percent 2 10 6 2" xfId="26953"/>
    <cellStyle name="Percent 2 10 7" xfId="26954"/>
    <cellStyle name="Percent 2 10 7 2" xfId="37135"/>
    <cellStyle name="Percent 2 10 8" xfId="26955"/>
    <cellStyle name="Percent 2 11" xfId="26956"/>
    <cellStyle name="Percent 2 11 2" xfId="26957"/>
    <cellStyle name="Percent 2 11 2 2" xfId="26958"/>
    <cellStyle name="Percent 2 11 2 2 2" xfId="26959"/>
    <cellStyle name="Percent 2 11 2 2 2 2" xfId="26960"/>
    <cellStyle name="Percent 2 11 2 2 2 3" xfId="26961"/>
    <cellStyle name="Percent 2 11 2 2 3" xfId="26962"/>
    <cellStyle name="Percent 2 11 2 2 3 2" xfId="26963"/>
    <cellStyle name="Percent 2 11 2 2 4" xfId="26964"/>
    <cellStyle name="Percent 2 11 2 3" xfId="26965"/>
    <cellStyle name="Percent 2 11 2 3 2" xfId="26966"/>
    <cellStyle name="Percent 2 11 2 3 2 2" xfId="26967"/>
    <cellStyle name="Percent 2 11 2 3 3" xfId="26968"/>
    <cellStyle name="Percent 2 11 2 4" xfId="26969"/>
    <cellStyle name="Percent 2 11 2 4 2" xfId="26970"/>
    <cellStyle name="Percent 2 11 2 4 3" xfId="26971"/>
    <cellStyle name="Percent 2 11 2 5" xfId="26972"/>
    <cellStyle name="Percent 2 11 2 5 2" xfId="26973"/>
    <cellStyle name="Percent 2 11 2 6" xfId="26974"/>
    <cellStyle name="Percent 2 11 2 6 2" xfId="37136"/>
    <cellStyle name="Percent 2 11 2 7" xfId="26975"/>
    <cellStyle name="Percent 2 11 3" xfId="26976"/>
    <cellStyle name="Percent 2 11 3 2" xfId="26977"/>
    <cellStyle name="Percent 2 11 3 2 2" xfId="26978"/>
    <cellStyle name="Percent 2 11 3 2 2 2" xfId="26979"/>
    <cellStyle name="Percent 2 11 3 2 3" xfId="26980"/>
    <cellStyle name="Percent 2 11 3 3" xfId="26981"/>
    <cellStyle name="Percent 2 11 3 3 2" xfId="26982"/>
    <cellStyle name="Percent 2 11 3 4" xfId="26983"/>
    <cellStyle name="Percent 2 11 4" xfId="26984"/>
    <cellStyle name="Percent 2 11 4 2" xfId="26985"/>
    <cellStyle name="Percent 2 11 4 2 2" xfId="26986"/>
    <cellStyle name="Percent 2 11 4 3" xfId="26987"/>
    <cellStyle name="Percent 2 11 5" xfId="26988"/>
    <cellStyle name="Percent 2 11 5 2" xfId="26989"/>
    <cellStyle name="Percent 2 11 5 2 2" xfId="26990"/>
    <cellStyle name="Percent 2 11 5 3" xfId="26991"/>
    <cellStyle name="Percent 2 11 6" xfId="26992"/>
    <cellStyle name="Percent 2 11 6 2" xfId="26993"/>
    <cellStyle name="Percent 2 11 7" xfId="26994"/>
    <cellStyle name="Percent 2 11 7 2" xfId="37137"/>
    <cellStyle name="Percent 2 11 8" xfId="26995"/>
    <cellStyle name="Percent 2 12" xfId="26996"/>
    <cellStyle name="Percent 2 12 2" xfId="26997"/>
    <cellStyle name="Percent 2 12 2 2" xfId="26998"/>
    <cellStyle name="Percent 2 12 2 2 2" xfId="26999"/>
    <cellStyle name="Percent 2 12 2 2 2 2" xfId="27000"/>
    <cellStyle name="Percent 2 12 2 2 2 3" xfId="27001"/>
    <cellStyle name="Percent 2 12 2 2 3" xfId="27002"/>
    <cellStyle name="Percent 2 12 2 2 3 2" xfId="27003"/>
    <cellStyle name="Percent 2 12 2 2 4" xfId="27004"/>
    <cellStyle name="Percent 2 12 2 3" xfId="27005"/>
    <cellStyle name="Percent 2 12 2 3 2" xfId="27006"/>
    <cellStyle name="Percent 2 12 2 3 2 2" xfId="27007"/>
    <cellStyle name="Percent 2 12 2 3 3" xfId="27008"/>
    <cellStyle name="Percent 2 12 2 4" xfId="27009"/>
    <cellStyle name="Percent 2 12 2 4 2" xfId="27010"/>
    <cellStyle name="Percent 2 12 2 4 3" xfId="27011"/>
    <cellStyle name="Percent 2 12 2 5" xfId="27012"/>
    <cellStyle name="Percent 2 12 2 5 2" xfId="27013"/>
    <cellStyle name="Percent 2 12 2 6" xfId="27014"/>
    <cellStyle name="Percent 2 12 2 6 2" xfId="37138"/>
    <cellStyle name="Percent 2 12 2 7" xfId="27015"/>
    <cellStyle name="Percent 2 12 3" xfId="27016"/>
    <cellStyle name="Percent 2 12 3 2" xfId="27017"/>
    <cellStyle name="Percent 2 12 3 2 2" xfId="27018"/>
    <cellStyle name="Percent 2 12 3 2 2 2" xfId="27019"/>
    <cellStyle name="Percent 2 12 3 2 3" xfId="27020"/>
    <cellStyle name="Percent 2 12 3 3" xfId="27021"/>
    <cellStyle name="Percent 2 12 3 3 2" xfId="27022"/>
    <cellStyle name="Percent 2 12 3 4" xfId="27023"/>
    <cellStyle name="Percent 2 12 4" xfId="27024"/>
    <cellStyle name="Percent 2 12 4 2" xfId="27025"/>
    <cellStyle name="Percent 2 12 4 2 2" xfId="27026"/>
    <cellStyle name="Percent 2 12 4 3" xfId="27027"/>
    <cellStyle name="Percent 2 12 5" xfId="27028"/>
    <cellStyle name="Percent 2 12 5 2" xfId="27029"/>
    <cellStyle name="Percent 2 12 5 2 2" xfId="27030"/>
    <cellStyle name="Percent 2 12 5 3" xfId="27031"/>
    <cellStyle name="Percent 2 12 6" xfId="27032"/>
    <cellStyle name="Percent 2 12 6 2" xfId="27033"/>
    <cellStyle name="Percent 2 12 7" xfId="27034"/>
    <cellStyle name="Percent 2 12 7 2" xfId="37139"/>
    <cellStyle name="Percent 2 12 8" xfId="27035"/>
    <cellStyle name="Percent 2 13" xfId="27036"/>
    <cellStyle name="Percent 2 13 2" xfId="27037"/>
    <cellStyle name="Percent 2 13 2 2" xfId="27038"/>
    <cellStyle name="Percent 2 13 2 2 2" xfId="27039"/>
    <cellStyle name="Percent 2 13 2 2 3" xfId="27040"/>
    <cellStyle name="Percent 2 13 2 3" xfId="27041"/>
    <cellStyle name="Percent 2 13 2 3 2" xfId="27042"/>
    <cellStyle name="Percent 2 13 2 4" xfId="27043"/>
    <cellStyle name="Percent 2 13 3" xfId="27044"/>
    <cellStyle name="Percent 2 13 3 2" xfId="27045"/>
    <cellStyle name="Percent 2 13 3 2 2" xfId="27046"/>
    <cellStyle name="Percent 2 13 3 3" xfId="27047"/>
    <cellStyle name="Percent 2 13 4" xfId="27048"/>
    <cellStyle name="Percent 2 13 4 2" xfId="27049"/>
    <cellStyle name="Percent 2 13 4 3" xfId="27050"/>
    <cellStyle name="Percent 2 13 5" xfId="27051"/>
    <cellStyle name="Percent 2 13 5 2" xfId="27052"/>
    <cellStyle name="Percent 2 13 6" xfId="27053"/>
    <cellStyle name="Percent 2 13 6 2" xfId="37140"/>
    <cellStyle name="Percent 2 13 7" xfId="27054"/>
    <cellStyle name="Percent 2 14" xfId="27055"/>
    <cellStyle name="Percent 2 14 2" xfId="27056"/>
    <cellStyle name="Percent 2 14 2 2" xfId="27057"/>
    <cellStyle name="Percent 2 14 2 2 2" xfId="27058"/>
    <cellStyle name="Percent 2 14 2 3" xfId="27059"/>
    <cellStyle name="Percent 2 14 3" xfId="27060"/>
    <cellStyle name="Percent 2 14 3 2" xfId="27061"/>
    <cellStyle name="Percent 2 14 4" xfId="27062"/>
    <cellStyle name="Percent 2 15" xfId="27063"/>
    <cellStyle name="Percent 2 15 2" xfId="27064"/>
    <cellStyle name="Percent 2 15 2 2" xfId="27065"/>
    <cellStyle name="Percent 2 15 3" xfId="27066"/>
    <cellStyle name="Percent 2 16" xfId="27067"/>
    <cellStyle name="Percent 2 16 2" xfId="27068"/>
    <cellStyle name="Percent 2 16 2 2" xfId="27069"/>
    <cellStyle name="Percent 2 16 3" xfId="27070"/>
    <cellStyle name="Percent 2 17" xfId="27071"/>
    <cellStyle name="Percent 2 17 2" xfId="27072"/>
    <cellStyle name="Percent 2 18" xfId="27073"/>
    <cellStyle name="Percent 2 18 2" xfId="37141"/>
    <cellStyle name="Percent 2 19" xfId="27074"/>
    <cellStyle name="Percent 2 2" xfId="27075"/>
    <cellStyle name="Percent 2 2 10" xfId="27076"/>
    <cellStyle name="Percent 2 2 10 2" xfId="27077"/>
    <cellStyle name="Percent 2 2 10 2 2" xfId="27078"/>
    <cellStyle name="Percent 2 2 10 2 2 2" xfId="27079"/>
    <cellStyle name="Percent 2 2 10 2 2 2 2" xfId="27080"/>
    <cellStyle name="Percent 2 2 10 2 2 2 3" xfId="27081"/>
    <cellStyle name="Percent 2 2 10 2 2 3" xfId="27082"/>
    <cellStyle name="Percent 2 2 10 2 2 3 2" xfId="27083"/>
    <cellStyle name="Percent 2 2 10 2 2 4" xfId="27084"/>
    <cellStyle name="Percent 2 2 10 2 3" xfId="27085"/>
    <cellStyle name="Percent 2 2 10 2 3 2" xfId="27086"/>
    <cellStyle name="Percent 2 2 10 2 3 2 2" xfId="27087"/>
    <cellStyle name="Percent 2 2 10 2 3 3" xfId="27088"/>
    <cellStyle name="Percent 2 2 10 2 4" xfId="27089"/>
    <cellStyle name="Percent 2 2 10 2 4 2" xfId="27090"/>
    <cellStyle name="Percent 2 2 10 2 4 3" xfId="27091"/>
    <cellStyle name="Percent 2 2 10 2 5" xfId="27092"/>
    <cellStyle name="Percent 2 2 10 2 5 2" xfId="27093"/>
    <cellStyle name="Percent 2 2 10 2 6" xfId="27094"/>
    <cellStyle name="Percent 2 2 10 2 6 2" xfId="37142"/>
    <cellStyle name="Percent 2 2 10 2 7" xfId="27095"/>
    <cellStyle name="Percent 2 2 10 3" xfId="27096"/>
    <cellStyle name="Percent 2 2 10 3 2" xfId="27097"/>
    <cellStyle name="Percent 2 2 10 3 2 2" xfId="27098"/>
    <cellStyle name="Percent 2 2 10 3 2 2 2" xfId="27099"/>
    <cellStyle name="Percent 2 2 10 3 2 3" xfId="27100"/>
    <cellStyle name="Percent 2 2 10 3 3" xfId="27101"/>
    <cellStyle name="Percent 2 2 10 3 3 2" xfId="27102"/>
    <cellStyle name="Percent 2 2 10 3 4" xfId="27103"/>
    <cellStyle name="Percent 2 2 10 4" xfId="27104"/>
    <cellStyle name="Percent 2 2 10 4 2" xfId="27105"/>
    <cellStyle name="Percent 2 2 10 4 2 2" xfId="27106"/>
    <cellStyle name="Percent 2 2 10 4 3" xfId="27107"/>
    <cellStyle name="Percent 2 2 10 5" xfId="27108"/>
    <cellStyle name="Percent 2 2 10 5 2" xfId="27109"/>
    <cellStyle name="Percent 2 2 10 5 2 2" xfId="27110"/>
    <cellStyle name="Percent 2 2 10 5 3" xfId="27111"/>
    <cellStyle name="Percent 2 2 10 6" xfId="27112"/>
    <cellStyle name="Percent 2 2 10 6 2" xfId="27113"/>
    <cellStyle name="Percent 2 2 10 7" xfId="27114"/>
    <cellStyle name="Percent 2 2 10 7 2" xfId="37143"/>
    <cellStyle name="Percent 2 2 10 8" xfId="27115"/>
    <cellStyle name="Percent 2 2 11" xfId="27116"/>
    <cellStyle name="Percent 2 2 11 2" xfId="27117"/>
    <cellStyle name="Percent 2 2 11 2 2" xfId="27118"/>
    <cellStyle name="Percent 2 2 11 2 2 2" xfId="27119"/>
    <cellStyle name="Percent 2 2 11 2 2 2 2" xfId="27120"/>
    <cellStyle name="Percent 2 2 11 2 2 2 3" xfId="27121"/>
    <cellStyle name="Percent 2 2 11 2 2 3" xfId="27122"/>
    <cellStyle name="Percent 2 2 11 2 2 3 2" xfId="27123"/>
    <cellStyle name="Percent 2 2 11 2 2 4" xfId="27124"/>
    <cellStyle name="Percent 2 2 11 2 3" xfId="27125"/>
    <cellStyle name="Percent 2 2 11 2 3 2" xfId="27126"/>
    <cellStyle name="Percent 2 2 11 2 3 2 2" xfId="27127"/>
    <cellStyle name="Percent 2 2 11 2 3 3" xfId="27128"/>
    <cellStyle name="Percent 2 2 11 2 4" xfId="27129"/>
    <cellStyle name="Percent 2 2 11 2 4 2" xfId="27130"/>
    <cellStyle name="Percent 2 2 11 2 4 3" xfId="27131"/>
    <cellStyle name="Percent 2 2 11 2 5" xfId="27132"/>
    <cellStyle name="Percent 2 2 11 2 5 2" xfId="27133"/>
    <cellStyle name="Percent 2 2 11 2 6" xfId="27134"/>
    <cellStyle name="Percent 2 2 11 2 6 2" xfId="37144"/>
    <cellStyle name="Percent 2 2 11 2 7" xfId="27135"/>
    <cellStyle name="Percent 2 2 11 3" xfId="27136"/>
    <cellStyle name="Percent 2 2 11 3 2" xfId="27137"/>
    <cellStyle name="Percent 2 2 11 3 2 2" xfId="27138"/>
    <cellStyle name="Percent 2 2 11 3 2 2 2" xfId="27139"/>
    <cellStyle name="Percent 2 2 11 3 2 3" xfId="27140"/>
    <cellStyle name="Percent 2 2 11 3 3" xfId="27141"/>
    <cellStyle name="Percent 2 2 11 3 3 2" xfId="27142"/>
    <cellStyle name="Percent 2 2 11 3 4" xfId="27143"/>
    <cellStyle name="Percent 2 2 11 4" xfId="27144"/>
    <cellStyle name="Percent 2 2 11 4 2" xfId="27145"/>
    <cellStyle name="Percent 2 2 11 4 2 2" xfId="27146"/>
    <cellStyle name="Percent 2 2 11 4 3" xfId="27147"/>
    <cellStyle name="Percent 2 2 11 5" xfId="27148"/>
    <cellStyle name="Percent 2 2 11 5 2" xfId="27149"/>
    <cellStyle name="Percent 2 2 11 5 2 2" xfId="27150"/>
    <cellStyle name="Percent 2 2 11 5 3" xfId="27151"/>
    <cellStyle name="Percent 2 2 11 6" xfId="27152"/>
    <cellStyle name="Percent 2 2 11 6 2" xfId="27153"/>
    <cellStyle name="Percent 2 2 11 7" xfId="27154"/>
    <cellStyle name="Percent 2 2 11 7 2" xfId="37145"/>
    <cellStyle name="Percent 2 2 11 8" xfId="27155"/>
    <cellStyle name="Percent 2 2 12" xfId="27156"/>
    <cellStyle name="Percent 2 2 12 2" xfId="27157"/>
    <cellStyle name="Percent 2 2 12 2 2" xfId="27158"/>
    <cellStyle name="Percent 2 2 12 2 2 2" xfId="27159"/>
    <cellStyle name="Percent 2 2 12 2 2 3" xfId="27160"/>
    <cellStyle name="Percent 2 2 12 2 3" xfId="27161"/>
    <cellStyle name="Percent 2 2 12 2 3 2" xfId="27162"/>
    <cellStyle name="Percent 2 2 12 2 4" xfId="27163"/>
    <cellStyle name="Percent 2 2 12 3" xfId="27164"/>
    <cellStyle name="Percent 2 2 12 3 2" xfId="27165"/>
    <cellStyle name="Percent 2 2 12 3 2 2" xfId="27166"/>
    <cellStyle name="Percent 2 2 12 3 3" xfId="27167"/>
    <cellStyle name="Percent 2 2 12 4" xfId="27168"/>
    <cellStyle name="Percent 2 2 12 4 2" xfId="27169"/>
    <cellStyle name="Percent 2 2 12 4 3" xfId="27170"/>
    <cellStyle name="Percent 2 2 12 5" xfId="27171"/>
    <cellStyle name="Percent 2 2 12 5 2" xfId="27172"/>
    <cellStyle name="Percent 2 2 12 6" xfId="27173"/>
    <cellStyle name="Percent 2 2 12 6 2" xfId="37146"/>
    <cellStyle name="Percent 2 2 12 7" xfId="27174"/>
    <cellStyle name="Percent 2 2 13" xfId="27175"/>
    <cellStyle name="Percent 2 2 13 2" xfId="27176"/>
    <cellStyle name="Percent 2 2 13 2 2" xfId="27177"/>
    <cellStyle name="Percent 2 2 13 2 2 2" xfId="27178"/>
    <cellStyle name="Percent 2 2 13 2 3" xfId="27179"/>
    <cellStyle name="Percent 2 2 13 3" xfId="27180"/>
    <cellStyle name="Percent 2 2 13 3 2" xfId="27181"/>
    <cellStyle name="Percent 2 2 13 4" xfId="27182"/>
    <cellStyle name="Percent 2 2 14" xfId="27183"/>
    <cellStyle name="Percent 2 2 14 2" xfId="27184"/>
    <cellStyle name="Percent 2 2 14 2 2" xfId="27185"/>
    <cellStyle name="Percent 2 2 14 3" xfId="27186"/>
    <cellStyle name="Percent 2 2 15" xfId="27187"/>
    <cellStyle name="Percent 2 2 15 2" xfId="27188"/>
    <cellStyle name="Percent 2 2 15 2 2" xfId="27189"/>
    <cellStyle name="Percent 2 2 15 3" xfId="27190"/>
    <cellStyle name="Percent 2 2 16" xfId="27191"/>
    <cellStyle name="Percent 2 2 16 2" xfId="27192"/>
    <cellStyle name="Percent 2 2 17" xfId="27193"/>
    <cellStyle name="Percent 2 2 17 2" xfId="37147"/>
    <cellStyle name="Percent 2 2 18" xfId="27194"/>
    <cellStyle name="Percent 2 2 2" xfId="27195"/>
    <cellStyle name="Percent 2 2 2 10" xfId="27196"/>
    <cellStyle name="Percent 2 2 2 10 2" xfId="27197"/>
    <cellStyle name="Percent 2 2 2 10 2 2" xfId="27198"/>
    <cellStyle name="Percent 2 2 2 10 3" xfId="27199"/>
    <cellStyle name="Percent 2 2 2 11" xfId="27200"/>
    <cellStyle name="Percent 2 2 2 11 2" xfId="27201"/>
    <cellStyle name="Percent 2 2 2 11 2 2" xfId="27202"/>
    <cellStyle name="Percent 2 2 2 11 3" xfId="27203"/>
    <cellStyle name="Percent 2 2 2 12" xfId="27204"/>
    <cellStyle name="Percent 2 2 2 12 2" xfId="27205"/>
    <cellStyle name="Percent 2 2 2 13" xfId="27206"/>
    <cellStyle name="Percent 2 2 2 13 2" xfId="37148"/>
    <cellStyle name="Percent 2 2 2 14" xfId="27207"/>
    <cellStyle name="Percent 2 2 2 2" xfId="27208"/>
    <cellStyle name="Percent 2 2 2 2 10" xfId="27209"/>
    <cellStyle name="Percent 2 2 2 2 2" xfId="27210"/>
    <cellStyle name="Percent 2 2 2 2 2 2" xfId="27211"/>
    <cellStyle name="Percent 2 2 2 2 2 2 2" xfId="27212"/>
    <cellStyle name="Percent 2 2 2 2 2 2 2 2" xfId="27213"/>
    <cellStyle name="Percent 2 2 2 2 2 2 2 2 2" xfId="27214"/>
    <cellStyle name="Percent 2 2 2 2 2 2 2 2 2 2" xfId="27215"/>
    <cellStyle name="Percent 2 2 2 2 2 2 2 2 2 3" xfId="27216"/>
    <cellStyle name="Percent 2 2 2 2 2 2 2 2 3" xfId="27217"/>
    <cellStyle name="Percent 2 2 2 2 2 2 2 2 3 2" xfId="27218"/>
    <cellStyle name="Percent 2 2 2 2 2 2 2 2 4" xfId="27219"/>
    <cellStyle name="Percent 2 2 2 2 2 2 2 3" xfId="27220"/>
    <cellStyle name="Percent 2 2 2 2 2 2 2 3 2" xfId="27221"/>
    <cellStyle name="Percent 2 2 2 2 2 2 2 3 2 2" xfId="27222"/>
    <cellStyle name="Percent 2 2 2 2 2 2 2 3 3" xfId="27223"/>
    <cellStyle name="Percent 2 2 2 2 2 2 2 4" xfId="27224"/>
    <cellStyle name="Percent 2 2 2 2 2 2 2 4 2" xfId="27225"/>
    <cellStyle name="Percent 2 2 2 2 2 2 2 4 3" xfId="27226"/>
    <cellStyle name="Percent 2 2 2 2 2 2 2 5" xfId="27227"/>
    <cellStyle name="Percent 2 2 2 2 2 2 2 5 2" xfId="27228"/>
    <cellStyle name="Percent 2 2 2 2 2 2 2 6" xfId="27229"/>
    <cellStyle name="Percent 2 2 2 2 2 2 2 6 2" xfId="37149"/>
    <cellStyle name="Percent 2 2 2 2 2 2 2 7" xfId="27230"/>
    <cellStyle name="Percent 2 2 2 2 2 2 3" xfId="27231"/>
    <cellStyle name="Percent 2 2 2 2 2 2 3 2" xfId="27232"/>
    <cellStyle name="Percent 2 2 2 2 2 2 3 2 2" xfId="27233"/>
    <cellStyle name="Percent 2 2 2 2 2 2 3 2 2 2" xfId="27234"/>
    <cellStyle name="Percent 2 2 2 2 2 2 3 2 3" xfId="27235"/>
    <cellStyle name="Percent 2 2 2 2 2 2 3 3" xfId="27236"/>
    <cellStyle name="Percent 2 2 2 2 2 2 3 3 2" xfId="27237"/>
    <cellStyle name="Percent 2 2 2 2 2 2 3 4" xfId="27238"/>
    <cellStyle name="Percent 2 2 2 2 2 2 4" xfId="27239"/>
    <cellStyle name="Percent 2 2 2 2 2 2 4 2" xfId="27240"/>
    <cellStyle name="Percent 2 2 2 2 2 2 4 2 2" xfId="27241"/>
    <cellStyle name="Percent 2 2 2 2 2 2 4 3" xfId="27242"/>
    <cellStyle name="Percent 2 2 2 2 2 2 5" xfId="27243"/>
    <cellStyle name="Percent 2 2 2 2 2 2 5 2" xfId="27244"/>
    <cellStyle name="Percent 2 2 2 2 2 2 5 2 2" xfId="27245"/>
    <cellStyle name="Percent 2 2 2 2 2 2 5 3" xfId="27246"/>
    <cellStyle name="Percent 2 2 2 2 2 2 6" xfId="27247"/>
    <cellStyle name="Percent 2 2 2 2 2 2 6 2" xfId="27248"/>
    <cellStyle name="Percent 2 2 2 2 2 2 7" xfId="27249"/>
    <cellStyle name="Percent 2 2 2 2 2 2 7 2" xfId="37150"/>
    <cellStyle name="Percent 2 2 2 2 2 2 8" xfId="27250"/>
    <cellStyle name="Percent 2 2 2 2 2 3" xfId="27251"/>
    <cellStyle name="Percent 2 2 2 2 2 3 2" xfId="27252"/>
    <cellStyle name="Percent 2 2 2 2 2 3 2 2" xfId="27253"/>
    <cellStyle name="Percent 2 2 2 2 2 3 2 2 2" xfId="27254"/>
    <cellStyle name="Percent 2 2 2 2 2 3 2 2 3" xfId="27255"/>
    <cellStyle name="Percent 2 2 2 2 2 3 2 3" xfId="27256"/>
    <cellStyle name="Percent 2 2 2 2 2 3 2 3 2" xfId="27257"/>
    <cellStyle name="Percent 2 2 2 2 2 3 2 4" xfId="27258"/>
    <cellStyle name="Percent 2 2 2 2 2 3 3" xfId="27259"/>
    <cellStyle name="Percent 2 2 2 2 2 3 3 2" xfId="27260"/>
    <cellStyle name="Percent 2 2 2 2 2 3 3 2 2" xfId="27261"/>
    <cellStyle name="Percent 2 2 2 2 2 3 3 3" xfId="27262"/>
    <cellStyle name="Percent 2 2 2 2 2 3 4" xfId="27263"/>
    <cellStyle name="Percent 2 2 2 2 2 3 4 2" xfId="27264"/>
    <cellStyle name="Percent 2 2 2 2 2 3 4 3" xfId="27265"/>
    <cellStyle name="Percent 2 2 2 2 2 3 5" xfId="27266"/>
    <cellStyle name="Percent 2 2 2 2 2 3 5 2" xfId="27267"/>
    <cellStyle name="Percent 2 2 2 2 2 3 6" xfId="27268"/>
    <cellStyle name="Percent 2 2 2 2 2 3 6 2" xfId="37151"/>
    <cellStyle name="Percent 2 2 2 2 2 3 7" xfId="27269"/>
    <cellStyle name="Percent 2 2 2 2 2 4" xfId="27270"/>
    <cellStyle name="Percent 2 2 2 2 2 4 2" xfId="27271"/>
    <cellStyle name="Percent 2 2 2 2 2 4 2 2" xfId="27272"/>
    <cellStyle name="Percent 2 2 2 2 2 4 2 2 2" xfId="27273"/>
    <cellStyle name="Percent 2 2 2 2 2 4 2 3" xfId="27274"/>
    <cellStyle name="Percent 2 2 2 2 2 4 3" xfId="27275"/>
    <cellStyle name="Percent 2 2 2 2 2 4 3 2" xfId="27276"/>
    <cellStyle name="Percent 2 2 2 2 2 4 4" xfId="27277"/>
    <cellStyle name="Percent 2 2 2 2 2 5" xfId="27278"/>
    <cellStyle name="Percent 2 2 2 2 2 5 2" xfId="27279"/>
    <cellStyle name="Percent 2 2 2 2 2 5 2 2" xfId="27280"/>
    <cellStyle name="Percent 2 2 2 2 2 5 3" xfId="27281"/>
    <cellStyle name="Percent 2 2 2 2 2 6" xfId="27282"/>
    <cellStyle name="Percent 2 2 2 2 2 6 2" xfId="27283"/>
    <cellStyle name="Percent 2 2 2 2 2 6 2 2" xfId="27284"/>
    <cellStyle name="Percent 2 2 2 2 2 6 3" xfId="27285"/>
    <cellStyle name="Percent 2 2 2 2 2 7" xfId="27286"/>
    <cellStyle name="Percent 2 2 2 2 2 7 2" xfId="27287"/>
    <cellStyle name="Percent 2 2 2 2 2 8" xfId="27288"/>
    <cellStyle name="Percent 2 2 2 2 2 8 2" xfId="37152"/>
    <cellStyle name="Percent 2 2 2 2 2 9" xfId="27289"/>
    <cellStyle name="Percent 2 2 2 2 3" xfId="27290"/>
    <cellStyle name="Percent 2 2 2 2 3 2" xfId="27291"/>
    <cellStyle name="Percent 2 2 2 2 3 2 2" xfId="27292"/>
    <cellStyle name="Percent 2 2 2 2 3 2 2 2" xfId="27293"/>
    <cellStyle name="Percent 2 2 2 2 3 2 2 2 2" xfId="27294"/>
    <cellStyle name="Percent 2 2 2 2 3 2 2 2 3" xfId="27295"/>
    <cellStyle name="Percent 2 2 2 2 3 2 2 3" xfId="27296"/>
    <cellStyle name="Percent 2 2 2 2 3 2 2 3 2" xfId="27297"/>
    <cellStyle name="Percent 2 2 2 2 3 2 2 4" xfId="27298"/>
    <cellStyle name="Percent 2 2 2 2 3 2 3" xfId="27299"/>
    <cellStyle name="Percent 2 2 2 2 3 2 3 2" xfId="27300"/>
    <cellStyle name="Percent 2 2 2 2 3 2 3 2 2" xfId="27301"/>
    <cellStyle name="Percent 2 2 2 2 3 2 3 3" xfId="27302"/>
    <cellStyle name="Percent 2 2 2 2 3 2 4" xfId="27303"/>
    <cellStyle name="Percent 2 2 2 2 3 2 4 2" xfId="27304"/>
    <cellStyle name="Percent 2 2 2 2 3 2 4 3" xfId="27305"/>
    <cellStyle name="Percent 2 2 2 2 3 2 5" xfId="27306"/>
    <cellStyle name="Percent 2 2 2 2 3 2 5 2" xfId="27307"/>
    <cellStyle name="Percent 2 2 2 2 3 2 6" xfId="27308"/>
    <cellStyle name="Percent 2 2 2 2 3 2 6 2" xfId="37153"/>
    <cellStyle name="Percent 2 2 2 2 3 2 7" xfId="27309"/>
    <cellStyle name="Percent 2 2 2 2 3 3" xfId="27310"/>
    <cellStyle name="Percent 2 2 2 2 3 3 2" xfId="27311"/>
    <cellStyle name="Percent 2 2 2 2 3 3 2 2" xfId="27312"/>
    <cellStyle name="Percent 2 2 2 2 3 3 2 2 2" xfId="27313"/>
    <cellStyle name="Percent 2 2 2 2 3 3 2 3" xfId="27314"/>
    <cellStyle name="Percent 2 2 2 2 3 3 3" xfId="27315"/>
    <cellStyle name="Percent 2 2 2 2 3 3 3 2" xfId="27316"/>
    <cellStyle name="Percent 2 2 2 2 3 3 4" xfId="27317"/>
    <cellStyle name="Percent 2 2 2 2 3 4" xfId="27318"/>
    <cellStyle name="Percent 2 2 2 2 3 4 2" xfId="27319"/>
    <cellStyle name="Percent 2 2 2 2 3 4 2 2" xfId="27320"/>
    <cellStyle name="Percent 2 2 2 2 3 4 3" xfId="27321"/>
    <cellStyle name="Percent 2 2 2 2 3 5" xfId="27322"/>
    <cellStyle name="Percent 2 2 2 2 3 5 2" xfId="27323"/>
    <cellStyle name="Percent 2 2 2 2 3 5 2 2" xfId="27324"/>
    <cellStyle name="Percent 2 2 2 2 3 5 3" xfId="27325"/>
    <cellStyle name="Percent 2 2 2 2 3 6" xfId="27326"/>
    <cellStyle name="Percent 2 2 2 2 3 6 2" xfId="27327"/>
    <cellStyle name="Percent 2 2 2 2 3 7" xfId="27328"/>
    <cellStyle name="Percent 2 2 2 2 3 7 2" xfId="37154"/>
    <cellStyle name="Percent 2 2 2 2 3 8" xfId="27329"/>
    <cellStyle name="Percent 2 2 2 2 4" xfId="27330"/>
    <cellStyle name="Percent 2 2 2 2 4 2" xfId="27331"/>
    <cellStyle name="Percent 2 2 2 2 4 2 2" xfId="27332"/>
    <cellStyle name="Percent 2 2 2 2 4 2 2 2" xfId="27333"/>
    <cellStyle name="Percent 2 2 2 2 4 2 2 3" xfId="27334"/>
    <cellStyle name="Percent 2 2 2 2 4 2 3" xfId="27335"/>
    <cellStyle name="Percent 2 2 2 2 4 2 3 2" xfId="27336"/>
    <cellStyle name="Percent 2 2 2 2 4 2 4" xfId="27337"/>
    <cellStyle name="Percent 2 2 2 2 4 3" xfId="27338"/>
    <cellStyle name="Percent 2 2 2 2 4 3 2" xfId="27339"/>
    <cellStyle name="Percent 2 2 2 2 4 3 2 2" xfId="27340"/>
    <cellStyle name="Percent 2 2 2 2 4 3 3" xfId="27341"/>
    <cellStyle name="Percent 2 2 2 2 4 4" xfId="27342"/>
    <cellStyle name="Percent 2 2 2 2 4 4 2" xfId="27343"/>
    <cellStyle name="Percent 2 2 2 2 4 4 3" xfId="27344"/>
    <cellStyle name="Percent 2 2 2 2 4 5" xfId="27345"/>
    <cellStyle name="Percent 2 2 2 2 4 5 2" xfId="27346"/>
    <cellStyle name="Percent 2 2 2 2 4 6" xfId="27347"/>
    <cellStyle name="Percent 2 2 2 2 4 6 2" xfId="37155"/>
    <cellStyle name="Percent 2 2 2 2 4 7" xfId="27348"/>
    <cellStyle name="Percent 2 2 2 2 5" xfId="27349"/>
    <cellStyle name="Percent 2 2 2 2 5 2" xfId="27350"/>
    <cellStyle name="Percent 2 2 2 2 5 2 2" xfId="27351"/>
    <cellStyle name="Percent 2 2 2 2 5 2 2 2" xfId="27352"/>
    <cellStyle name="Percent 2 2 2 2 5 2 3" xfId="27353"/>
    <cellStyle name="Percent 2 2 2 2 5 3" xfId="27354"/>
    <cellStyle name="Percent 2 2 2 2 5 3 2" xfId="27355"/>
    <cellStyle name="Percent 2 2 2 2 5 4" xfId="27356"/>
    <cellStyle name="Percent 2 2 2 2 6" xfId="27357"/>
    <cellStyle name="Percent 2 2 2 2 6 2" xfId="27358"/>
    <cellStyle name="Percent 2 2 2 2 6 2 2" xfId="27359"/>
    <cellStyle name="Percent 2 2 2 2 6 3" xfId="27360"/>
    <cellStyle name="Percent 2 2 2 2 7" xfId="27361"/>
    <cellStyle name="Percent 2 2 2 2 7 2" xfId="27362"/>
    <cellStyle name="Percent 2 2 2 2 7 2 2" xfId="27363"/>
    <cellStyle name="Percent 2 2 2 2 7 3" xfId="27364"/>
    <cellStyle name="Percent 2 2 2 2 8" xfId="27365"/>
    <cellStyle name="Percent 2 2 2 2 8 2" xfId="27366"/>
    <cellStyle name="Percent 2 2 2 2 9" xfId="27367"/>
    <cellStyle name="Percent 2 2 2 2 9 2" xfId="37156"/>
    <cellStyle name="Percent 2 2 2 3" xfId="27368"/>
    <cellStyle name="Percent 2 2 2 3 2" xfId="27369"/>
    <cellStyle name="Percent 2 2 2 3 2 2" xfId="27370"/>
    <cellStyle name="Percent 2 2 2 3 2 2 2" xfId="27371"/>
    <cellStyle name="Percent 2 2 2 3 2 2 2 2" xfId="27372"/>
    <cellStyle name="Percent 2 2 2 3 2 2 2 2 2" xfId="27373"/>
    <cellStyle name="Percent 2 2 2 3 2 2 2 2 3" xfId="27374"/>
    <cellStyle name="Percent 2 2 2 3 2 2 2 3" xfId="27375"/>
    <cellStyle name="Percent 2 2 2 3 2 2 2 3 2" xfId="27376"/>
    <cellStyle name="Percent 2 2 2 3 2 2 2 4" xfId="27377"/>
    <cellStyle name="Percent 2 2 2 3 2 2 3" xfId="27378"/>
    <cellStyle name="Percent 2 2 2 3 2 2 3 2" xfId="27379"/>
    <cellStyle name="Percent 2 2 2 3 2 2 3 2 2" xfId="27380"/>
    <cellStyle name="Percent 2 2 2 3 2 2 3 3" xfId="27381"/>
    <cellStyle name="Percent 2 2 2 3 2 2 4" xfId="27382"/>
    <cellStyle name="Percent 2 2 2 3 2 2 4 2" xfId="27383"/>
    <cellStyle name="Percent 2 2 2 3 2 2 4 3" xfId="27384"/>
    <cellStyle name="Percent 2 2 2 3 2 2 5" xfId="27385"/>
    <cellStyle name="Percent 2 2 2 3 2 2 5 2" xfId="27386"/>
    <cellStyle name="Percent 2 2 2 3 2 2 6" xfId="27387"/>
    <cellStyle name="Percent 2 2 2 3 2 2 6 2" xfId="37157"/>
    <cellStyle name="Percent 2 2 2 3 2 2 7" xfId="27388"/>
    <cellStyle name="Percent 2 2 2 3 2 3" xfId="27389"/>
    <cellStyle name="Percent 2 2 2 3 2 3 2" xfId="27390"/>
    <cellStyle name="Percent 2 2 2 3 2 3 2 2" xfId="27391"/>
    <cellStyle name="Percent 2 2 2 3 2 3 2 2 2" xfId="27392"/>
    <cellStyle name="Percent 2 2 2 3 2 3 2 3" xfId="27393"/>
    <cellStyle name="Percent 2 2 2 3 2 3 3" xfId="27394"/>
    <cellStyle name="Percent 2 2 2 3 2 3 3 2" xfId="27395"/>
    <cellStyle name="Percent 2 2 2 3 2 3 4" xfId="27396"/>
    <cellStyle name="Percent 2 2 2 3 2 4" xfId="27397"/>
    <cellStyle name="Percent 2 2 2 3 2 4 2" xfId="27398"/>
    <cellStyle name="Percent 2 2 2 3 2 4 2 2" xfId="27399"/>
    <cellStyle name="Percent 2 2 2 3 2 4 3" xfId="27400"/>
    <cellStyle name="Percent 2 2 2 3 2 5" xfId="27401"/>
    <cellStyle name="Percent 2 2 2 3 2 5 2" xfId="27402"/>
    <cellStyle name="Percent 2 2 2 3 2 5 2 2" xfId="27403"/>
    <cellStyle name="Percent 2 2 2 3 2 5 3" xfId="27404"/>
    <cellStyle name="Percent 2 2 2 3 2 6" xfId="27405"/>
    <cellStyle name="Percent 2 2 2 3 2 6 2" xfId="27406"/>
    <cellStyle name="Percent 2 2 2 3 2 7" xfId="27407"/>
    <cellStyle name="Percent 2 2 2 3 2 7 2" xfId="37158"/>
    <cellStyle name="Percent 2 2 2 3 2 8" xfId="27408"/>
    <cellStyle name="Percent 2 2 2 3 3" xfId="27409"/>
    <cellStyle name="Percent 2 2 2 3 3 2" xfId="27410"/>
    <cellStyle name="Percent 2 2 2 3 3 2 2" xfId="27411"/>
    <cellStyle name="Percent 2 2 2 3 3 2 2 2" xfId="27412"/>
    <cellStyle name="Percent 2 2 2 3 3 2 2 3" xfId="27413"/>
    <cellStyle name="Percent 2 2 2 3 3 2 3" xfId="27414"/>
    <cellStyle name="Percent 2 2 2 3 3 2 3 2" xfId="27415"/>
    <cellStyle name="Percent 2 2 2 3 3 2 4" xfId="27416"/>
    <cellStyle name="Percent 2 2 2 3 3 3" xfId="27417"/>
    <cellStyle name="Percent 2 2 2 3 3 3 2" xfId="27418"/>
    <cellStyle name="Percent 2 2 2 3 3 3 2 2" xfId="27419"/>
    <cellStyle name="Percent 2 2 2 3 3 3 3" xfId="27420"/>
    <cellStyle name="Percent 2 2 2 3 3 4" xfId="27421"/>
    <cellStyle name="Percent 2 2 2 3 3 4 2" xfId="27422"/>
    <cellStyle name="Percent 2 2 2 3 3 4 3" xfId="27423"/>
    <cellStyle name="Percent 2 2 2 3 3 5" xfId="27424"/>
    <cellStyle name="Percent 2 2 2 3 3 5 2" xfId="27425"/>
    <cellStyle name="Percent 2 2 2 3 3 6" xfId="27426"/>
    <cellStyle name="Percent 2 2 2 3 3 6 2" xfId="37159"/>
    <cellStyle name="Percent 2 2 2 3 3 7" xfId="27427"/>
    <cellStyle name="Percent 2 2 2 3 4" xfId="27428"/>
    <cellStyle name="Percent 2 2 2 3 4 2" xfId="27429"/>
    <cellStyle name="Percent 2 2 2 3 4 2 2" xfId="27430"/>
    <cellStyle name="Percent 2 2 2 3 4 2 2 2" xfId="27431"/>
    <cellStyle name="Percent 2 2 2 3 4 2 3" xfId="27432"/>
    <cellStyle name="Percent 2 2 2 3 4 3" xfId="27433"/>
    <cellStyle name="Percent 2 2 2 3 4 3 2" xfId="27434"/>
    <cellStyle name="Percent 2 2 2 3 4 4" xfId="27435"/>
    <cellStyle name="Percent 2 2 2 3 5" xfId="27436"/>
    <cellStyle name="Percent 2 2 2 3 5 2" xfId="27437"/>
    <cellStyle name="Percent 2 2 2 3 5 2 2" xfId="27438"/>
    <cellStyle name="Percent 2 2 2 3 5 3" xfId="27439"/>
    <cellStyle name="Percent 2 2 2 3 6" xfId="27440"/>
    <cellStyle name="Percent 2 2 2 3 6 2" xfId="27441"/>
    <cellStyle name="Percent 2 2 2 3 6 2 2" xfId="27442"/>
    <cellStyle name="Percent 2 2 2 3 6 3" xfId="27443"/>
    <cellStyle name="Percent 2 2 2 3 7" xfId="27444"/>
    <cellStyle name="Percent 2 2 2 3 7 2" xfId="27445"/>
    <cellStyle name="Percent 2 2 2 3 8" xfId="27446"/>
    <cellStyle name="Percent 2 2 2 3 8 2" xfId="37160"/>
    <cellStyle name="Percent 2 2 2 3 9" xfId="27447"/>
    <cellStyle name="Percent 2 2 2 4" xfId="27448"/>
    <cellStyle name="Percent 2 2 2 4 2" xfId="27449"/>
    <cellStyle name="Percent 2 2 2 4 2 2" xfId="27450"/>
    <cellStyle name="Percent 2 2 2 4 2 2 2" xfId="27451"/>
    <cellStyle name="Percent 2 2 2 4 2 2 2 2" xfId="27452"/>
    <cellStyle name="Percent 2 2 2 4 2 2 2 2 2" xfId="27453"/>
    <cellStyle name="Percent 2 2 2 4 2 2 2 2 3" xfId="27454"/>
    <cellStyle name="Percent 2 2 2 4 2 2 2 3" xfId="27455"/>
    <cellStyle name="Percent 2 2 2 4 2 2 2 3 2" xfId="27456"/>
    <cellStyle name="Percent 2 2 2 4 2 2 2 4" xfId="27457"/>
    <cellStyle name="Percent 2 2 2 4 2 2 3" xfId="27458"/>
    <cellStyle name="Percent 2 2 2 4 2 2 3 2" xfId="27459"/>
    <cellStyle name="Percent 2 2 2 4 2 2 3 2 2" xfId="27460"/>
    <cellStyle name="Percent 2 2 2 4 2 2 3 3" xfId="27461"/>
    <cellStyle name="Percent 2 2 2 4 2 2 4" xfId="27462"/>
    <cellStyle name="Percent 2 2 2 4 2 2 4 2" xfId="27463"/>
    <cellStyle name="Percent 2 2 2 4 2 2 4 3" xfId="27464"/>
    <cellStyle name="Percent 2 2 2 4 2 2 5" xfId="27465"/>
    <cellStyle name="Percent 2 2 2 4 2 2 5 2" xfId="27466"/>
    <cellStyle name="Percent 2 2 2 4 2 2 6" xfId="27467"/>
    <cellStyle name="Percent 2 2 2 4 2 2 6 2" xfId="37161"/>
    <cellStyle name="Percent 2 2 2 4 2 2 7" xfId="27468"/>
    <cellStyle name="Percent 2 2 2 4 2 3" xfId="27469"/>
    <cellStyle name="Percent 2 2 2 4 2 3 2" xfId="27470"/>
    <cellStyle name="Percent 2 2 2 4 2 3 2 2" xfId="27471"/>
    <cellStyle name="Percent 2 2 2 4 2 3 2 2 2" xfId="27472"/>
    <cellStyle name="Percent 2 2 2 4 2 3 2 3" xfId="27473"/>
    <cellStyle name="Percent 2 2 2 4 2 3 3" xfId="27474"/>
    <cellStyle name="Percent 2 2 2 4 2 3 3 2" xfId="27475"/>
    <cellStyle name="Percent 2 2 2 4 2 3 4" xfId="27476"/>
    <cellStyle name="Percent 2 2 2 4 2 4" xfId="27477"/>
    <cellStyle name="Percent 2 2 2 4 2 4 2" xfId="27478"/>
    <cellStyle name="Percent 2 2 2 4 2 4 2 2" xfId="27479"/>
    <cellStyle name="Percent 2 2 2 4 2 4 3" xfId="27480"/>
    <cellStyle name="Percent 2 2 2 4 2 5" xfId="27481"/>
    <cellStyle name="Percent 2 2 2 4 2 5 2" xfId="27482"/>
    <cellStyle name="Percent 2 2 2 4 2 5 2 2" xfId="27483"/>
    <cellStyle name="Percent 2 2 2 4 2 5 3" xfId="27484"/>
    <cellStyle name="Percent 2 2 2 4 2 6" xfId="27485"/>
    <cellStyle name="Percent 2 2 2 4 2 6 2" xfId="27486"/>
    <cellStyle name="Percent 2 2 2 4 2 7" xfId="27487"/>
    <cellStyle name="Percent 2 2 2 4 2 7 2" xfId="37162"/>
    <cellStyle name="Percent 2 2 2 4 2 8" xfId="27488"/>
    <cellStyle name="Percent 2 2 2 4 3" xfId="27489"/>
    <cellStyle name="Percent 2 2 2 4 3 2" xfId="27490"/>
    <cellStyle name="Percent 2 2 2 4 3 2 2" xfId="27491"/>
    <cellStyle name="Percent 2 2 2 4 3 2 2 2" xfId="27492"/>
    <cellStyle name="Percent 2 2 2 4 3 2 2 3" xfId="27493"/>
    <cellStyle name="Percent 2 2 2 4 3 2 3" xfId="27494"/>
    <cellStyle name="Percent 2 2 2 4 3 2 3 2" xfId="27495"/>
    <cellStyle name="Percent 2 2 2 4 3 2 4" xfId="27496"/>
    <cellStyle name="Percent 2 2 2 4 3 3" xfId="27497"/>
    <cellStyle name="Percent 2 2 2 4 3 3 2" xfId="27498"/>
    <cellStyle name="Percent 2 2 2 4 3 3 2 2" xfId="27499"/>
    <cellStyle name="Percent 2 2 2 4 3 3 3" xfId="27500"/>
    <cellStyle name="Percent 2 2 2 4 3 4" xfId="27501"/>
    <cellStyle name="Percent 2 2 2 4 3 4 2" xfId="27502"/>
    <cellStyle name="Percent 2 2 2 4 3 4 3" xfId="27503"/>
    <cellStyle name="Percent 2 2 2 4 3 5" xfId="27504"/>
    <cellStyle name="Percent 2 2 2 4 3 5 2" xfId="27505"/>
    <cellStyle name="Percent 2 2 2 4 3 6" xfId="27506"/>
    <cellStyle name="Percent 2 2 2 4 3 6 2" xfId="37163"/>
    <cellStyle name="Percent 2 2 2 4 3 7" xfId="27507"/>
    <cellStyle name="Percent 2 2 2 4 4" xfId="27508"/>
    <cellStyle name="Percent 2 2 2 4 4 2" xfId="27509"/>
    <cellStyle name="Percent 2 2 2 4 4 2 2" xfId="27510"/>
    <cellStyle name="Percent 2 2 2 4 4 2 2 2" xfId="27511"/>
    <cellStyle name="Percent 2 2 2 4 4 2 3" xfId="27512"/>
    <cellStyle name="Percent 2 2 2 4 4 3" xfId="27513"/>
    <cellStyle name="Percent 2 2 2 4 4 3 2" xfId="27514"/>
    <cellStyle name="Percent 2 2 2 4 4 4" xfId="27515"/>
    <cellStyle name="Percent 2 2 2 4 5" xfId="27516"/>
    <cellStyle name="Percent 2 2 2 4 5 2" xfId="27517"/>
    <cellStyle name="Percent 2 2 2 4 5 2 2" xfId="27518"/>
    <cellStyle name="Percent 2 2 2 4 5 3" xfId="27519"/>
    <cellStyle name="Percent 2 2 2 4 6" xfId="27520"/>
    <cellStyle name="Percent 2 2 2 4 6 2" xfId="27521"/>
    <cellStyle name="Percent 2 2 2 4 6 2 2" xfId="27522"/>
    <cellStyle name="Percent 2 2 2 4 6 3" xfId="27523"/>
    <cellStyle name="Percent 2 2 2 4 7" xfId="27524"/>
    <cellStyle name="Percent 2 2 2 4 7 2" xfId="27525"/>
    <cellStyle name="Percent 2 2 2 4 8" xfId="27526"/>
    <cellStyle name="Percent 2 2 2 4 8 2" xfId="37164"/>
    <cellStyle name="Percent 2 2 2 4 9" xfId="27527"/>
    <cellStyle name="Percent 2 2 2 5" xfId="27528"/>
    <cellStyle name="Percent 2 2 2 5 2" xfId="27529"/>
    <cellStyle name="Percent 2 2 2 5 2 2" xfId="27530"/>
    <cellStyle name="Percent 2 2 2 5 2 2 2" xfId="27531"/>
    <cellStyle name="Percent 2 2 2 5 2 2 2 2" xfId="27532"/>
    <cellStyle name="Percent 2 2 2 5 2 2 2 3" xfId="27533"/>
    <cellStyle name="Percent 2 2 2 5 2 2 3" xfId="27534"/>
    <cellStyle name="Percent 2 2 2 5 2 2 3 2" xfId="27535"/>
    <cellStyle name="Percent 2 2 2 5 2 2 4" xfId="27536"/>
    <cellStyle name="Percent 2 2 2 5 2 3" xfId="27537"/>
    <cellStyle name="Percent 2 2 2 5 2 3 2" xfId="27538"/>
    <cellStyle name="Percent 2 2 2 5 2 3 2 2" xfId="27539"/>
    <cellStyle name="Percent 2 2 2 5 2 3 3" xfId="27540"/>
    <cellStyle name="Percent 2 2 2 5 2 4" xfId="27541"/>
    <cellStyle name="Percent 2 2 2 5 2 4 2" xfId="27542"/>
    <cellStyle name="Percent 2 2 2 5 2 4 3" xfId="27543"/>
    <cellStyle name="Percent 2 2 2 5 2 5" xfId="27544"/>
    <cellStyle name="Percent 2 2 2 5 2 5 2" xfId="27545"/>
    <cellStyle name="Percent 2 2 2 5 2 6" xfId="27546"/>
    <cellStyle name="Percent 2 2 2 5 2 6 2" xfId="37165"/>
    <cellStyle name="Percent 2 2 2 5 2 7" xfId="27547"/>
    <cellStyle name="Percent 2 2 2 5 3" xfId="27548"/>
    <cellStyle name="Percent 2 2 2 5 3 2" xfId="27549"/>
    <cellStyle name="Percent 2 2 2 5 3 2 2" xfId="27550"/>
    <cellStyle name="Percent 2 2 2 5 3 2 2 2" xfId="27551"/>
    <cellStyle name="Percent 2 2 2 5 3 2 3" xfId="27552"/>
    <cellStyle name="Percent 2 2 2 5 3 3" xfId="27553"/>
    <cellStyle name="Percent 2 2 2 5 3 3 2" xfId="27554"/>
    <cellStyle name="Percent 2 2 2 5 3 4" xfId="27555"/>
    <cellStyle name="Percent 2 2 2 5 4" xfId="27556"/>
    <cellStyle name="Percent 2 2 2 5 4 2" xfId="27557"/>
    <cellStyle name="Percent 2 2 2 5 4 2 2" xfId="27558"/>
    <cellStyle name="Percent 2 2 2 5 4 3" xfId="27559"/>
    <cellStyle name="Percent 2 2 2 5 5" xfId="27560"/>
    <cellStyle name="Percent 2 2 2 5 5 2" xfId="27561"/>
    <cellStyle name="Percent 2 2 2 5 5 2 2" xfId="27562"/>
    <cellStyle name="Percent 2 2 2 5 5 3" xfId="27563"/>
    <cellStyle name="Percent 2 2 2 5 6" xfId="27564"/>
    <cellStyle name="Percent 2 2 2 5 6 2" xfId="27565"/>
    <cellStyle name="Percent 2 2 2 5 7" xfId="27566"/>
    <cellStyle name="Percent 2 2 2 5 7 2" xfId="37166"/>
    <cellStyle name="Percent 2 2 2 5 8" xfId="27567"/>
    <cellStyle name="Percent 2 2 2 6" xfId="27568"/>
    <cellStyle name="Percent 2 2 2 6 2" xfId="27569"/>
    <cellStyle name="Percent 2 2 2 6 2 2" xfId="27570"/>
    <cellStyle name="Percent 2 2 2 6 2 2 2" xfId="27571"/>
    <cellStyle name="Percent 2 2 2 6 2 2 2 2" xfId="27572"/>
    <cellStyle name="Percent 2 2 2 6 2 2 2 3" xfId="27573"/>
    <cellStyle name="Percent 2 2 2 6 2 2 3" xfId="27574"/>
    <cellStyle name="Percent 2 2 2 6 2 2 3 2" xfId="27575"/>
    <cellStyle name="Percent 2 2 2 6 2 2 4" xfId="27576"/>
    <cellStyle name="Percent 2 2 2 6 2 3" xfId="27577"/>
    <cellStyle name="Percent 2 2 2 6 2 3 2" xfId="27578"/>
    <cellStyle name="Percent 2 2 2 6 2 3 2 2" xfId="27579"/>
    <cellStyle name="Percent 2 2 2 6 2 3 3" xfId="27580"/>
    <cellStyle name="Percent 2 2 2 6 2 4" xfId="27581"/>
    <cellStyle name="Percent 2 2 2 6 2 4 2" xfId="27582"/>
    <cellStyle name="Percent 2 2 2 6 2 4 3" xfId="27583"/>
    <cellStyle name="Percent 2 2 2 6 2 5" xfId="27584"/>
    <cellStyle name="Percent 2 2 2 6 2 5 2" xfId="27585"/>
    <cellStyle name="Percent 2 2 2 6 2 6" xfId="27586"/>
    <cellStyle name="Percent 2 2 2 6 2 6 2" xfId="37167"/>
    <cellStyle name="Percent 2 2 2 6 2 7" xfId="27587"/>
    <cellStyle name="Percent 2 2 2 6 3" xfId="27588"/>
    <cellStyle name="Percent 2 2 2 6 3 2" xfId="27589"/>
    <cellStyle name="Percent 2 2 2 6 3 2 2" xfId="27590"/>
    <cellStyle name="Percent 2 2 2 6 3 2 2 2" xfId="27591"/>
    <cellStyle name="Percent 2 2 2 6 3 2 3" xfId="27592"/>
    <cellStyle name="Percent 2 2 2 6 3 3" xfId="27593"/>
    <cellStyle name="Percent 2 2 2 6 3 3 2" xfId="27594"/>
    <cellStyle name="Percent 2 2 2 6 3 4" xfId="27595"/>
    <cellStyle name="Percent 2 2 2 6 4" xfId="27596"/>
    <cellStyle name="Percent 2 2 2 6 4 2" xfId="27597"/>
    <cellStyle name="Percent 2 2 2 6 4 2 2" xfId="27598"/>
    <cellStyle name="Percent 2 2 2 6 4 3" xfId="27599"/>
    <cellStyle name="Percent 2 2 2 6 5" xfId="27600"/>
    <cellStyle name="Percent 2 2 2 6 5 2" xfId="27601"/>
    <cellStyle name="Percent 2 2 2 6 5 2 2" xfId="27602"/>
    <cellStyle name="Percent 2 2 2 6 5 3" xfId="27603"/>
    <cellStyle name="Percent 2 2 2 6 6" xfId="27604"/>
    <cellStyle name="Percent 2 2 2 6 6 2" xfId="27605"/>
    <cellStyle name="Percent 2 2 2 6 7" xfId="27606"/>
    <cellStyle name="Percent 2 2 2 6 7 2" xfId="37168"/>
    <cellStyle name="Percent 2 2 2 6 8" xfId="27607"/>
    <cellStyle name="Percent 2 2 2 7" xfId="27608"/>
    <cellStyle name="Percent 2 2 2 7 2" xfId="27609"/>
    <cellStyle name="Percent 2 2 2 7 2 2" xfId="27610"/>
    <cellStyle name="Percent 2 2 2 7 2 2 2" xfId="27611"/>
    <cellStyle name="Percent 2 2 2 7 2 2 2 2" xfId="27612"/>
    <cellStyle name="Percent 2 2 2 7 2 2 2 3" xfId="27613"/>
    <cellStyle name="Percent 2 2 2 7 2 2 3" xfId="27614"/>
    <cellStyle name="Percent 2 2 2 7 2 2 3 2" xfId="27615"/>
    <cellStyle name="Percent 2 2 2 7 2 2 4" xfId="27616"/>
    <cellStyle name="Percent 2 2 2 7 2 3" xfId="27617"/>
    <cellStyle name="Percent 2 2 2 7 2 3 2" xfId="27618"/>
    <cellStyle name="Percent 2 2 2 7 2 3 2 2" xfId="27619"/>
    <cellStyle name="Percent 2 2 2 7 2 3 3" xfId="27620"/>
    <cellStyle name="Percent 2 2 2 7 2 4" xfId="27621"/>
    <cellStyle name="Percent 2 2 2 7 2 4 2" xfId="27622"/>
    <cellStyle name="Percent 2 2 2 7 2 4 3" xfId="27623"/>
    <cellStyle name="Percent 2 2 2 7 2 5" xfId="27624"/>
    <cellStyle name="Percent 2 2 2 7 2 5 2" xfId="27625"/>
    <cellStyle name="Percent 2 2 2 7 2 6" xfId="27626"/>
    <cellStyle name="Percent 2 2 2 7 2 6 2" xfId="37169"/>
    <cellStyle name="Percent 2 2 2 7 2 7" xfId="27627"/>
    <cellStyle name="Percent 2 2 2 7 3" xfId="27628"/>
    <cellStyle name="Percent 2 2 2 7 3 2" xfId="27629"/>
    <cellStyle name="Percent 2 2 2 7 3 2 2" xfId="27630"/>
    <cellStyle name="Percent 2 2 2 7 3 2 2 2" xfId="27631"/>
    <cellStyle name="Percent 2 2 2 7 3 2 3" xfId="27632"/>
    <cellStyle name="Percent 2 2 2 7 3 3" xfId="27633"/>
    <cellStyle name="Percent 2 2 2 7 3 3 2" xfId="27634"/>
    <cellStyle name="Percent 2 2 2 7 3 4" xfId="27635"/>
    <cellStyle name="Percent 2 2 2 7 4" xfId="27636"/>
    <cellStyle name="Percent 2 2 2 7 4 2" xfId="27637"/>
    <cellStyle name="Percent 2 2 2 7 4 2 2" xfId="27638"/>
    <cellStyle name="Percent 2 2 2 7 4 3" xfId="27639"/>
    <cellStyle name="Percent 2 2 2 7 5" xfId="27640"/>
    <cellStyle name="Percent 2 2 2 7 5 2" xfId="27641"/>
    <cellStyle name="Percent 2 2 2 7 5 2 2" xfId="27642"/>
    <cellStyle name="Percent 2 2 2 7 5 3" xfId="27643"/>
    <cellStyle name="Percent 2 2 2 7 6" xfId="27644"/>
    <cellStyle name="Percent 2 2 2 7 6 2" xfId="27645"/>
    <cellStyle name="Percent 2 2 2 7 7" xfId="27646"/>
    <cellStyle name="Percent 2 2 2 7 7 2" xfId="37170"/>
    <cellStyle name="Percent 2 2 2 7 8" xfId="27647"/>
    <cellStyle name="Percent 2 2 2 8" xfId="27648"/>
    <cellStyle name="Percent 2 2 2 8 2" xfId="27649"/>
    <cellStyle name="Percent 2 2 2 8 2 2" xfId="27650"/>
    <cellStyle name="Percent 2 2 2 8 2 2 2" xfId="27651"/>
    <cellStyle name="Percent 2 2 2 8 2 2 3" xfId="27652"/>
    <cellStyle name="Percent 2 2 2 8 2 3" xfId="27653"/>
    <cellStyle name="Percent 2 2 2 8 2 3 2" xfId="27654"/>
    <cellStyle name="Percent 2 2 2 8 2 4" xfId="27655"/>
    <cellStyle name="Percent 2 2 2 8 3" xfId="27656"/>
    <cellStyle name="Percent 2 2 2 8 3 2" xfId="27657"/>
    <cellStyle name="Percent 2 2 2 8 3 2 2" xfId="27658"/>
    <cellStyle name="Percent 2 2 2 8 3 3" xfId="27659"/>
    <cellStyle name="Percent 2 2 2 8 4" xfId="27660"/>
    <cellStyle name="Percent 2 2 2 8 4 2" xfId="27661"/>
    <cellStyle name="Percent 2 2 2 8 4 3" xfId="27662"/>
    <cellStyle name="Percent 2 2 2 8 5" xfId="27663"/>
    <cellStyle name="Percent 2 2 2 8 5 2" xfId="27664"/>
    <cellStyle name="Percent 2 2 2 8 6" xfId="27665"/>
    <cellStyle name="Percent 2 2 2 8 6 2" xfId="37171"/>
    <cellStyle name="Percent 2 2 2 8 7" xfId="27666"/>
    <cellStyle name="Percent 2 2 2 9" xfId="27667"/>
    <cellStyle name="Percent 2 2 2 9 2" xfId="27668"/>
    <cellStyle name="Percent 2 2 2 9 2 2" xfId="27669"/>
    <cellStyle name="Percent 2 2 2 9 2 2 2" xfId="27670"/>
    <cellStyle name="Percent 2 2 2 9 2 3" xfId="27671"/>
    <cellStyle name="Percent 2 2 2 9 3" xfId="27672"/>
    <cellStyle name="Percent 2 2 2 9 3 2" xfId="27673"/>
    <cellStyle name="Percent 2 2 2 9 4" xfId="27674"/>
    <cellStyle name="Percent 2 2 3" xfId="27675"/>
    <cellStyle name="Percent 2 2 3 10" xfId="27676"/>
    <cellStyle name="Percent 2 2 3 10 2" xfId="27677"/>
    <cellStyle name="Percent 2 2 3 10 2 2" xfId="27678"/>
    <cellStyle name="Percent 2 2 3 10 3" xfId="27679"/>
    <cellStyle name="Percent 2 2 3 11" xfId="27680"/>
    <cellStyle name="Percent 2 2 3 11 2" xfId="27681"/>
    <cellStyle name="Percent 2 2 3 11 2 2" xfId="27682"/>
    <cellStyle name="Percent 2 2 3 11 3" xfId="27683"/>
    <cellStyle name="Percent 2 2 3 12" xfId="27684"/>
    <cellStyle name="Percent 2 2 3 12 2" xfId="27685"/>
    <cellStyle name="Percent 2 2 3 13" xfId="27686"/>
    <cellStyle name="Percent 2 2 3 13 2" xfId="37172"/>
    <cellStyle name="Percent 2 2 3 14" xfId="27687"/>
    <cellStyle name="Percent 2 2 3 2" xfId="27688"/>
    <cellStyle name="Percent 2 2 3 2 10" xfId="27689"/>
    <cellStyle name="Percent 2 2 3 2 2" xfId="27690"/>
    <cellStyle name="Percent 2 2 3 2 2 2" xfId="27691"/>
    <cellStyle name="Percent 2 2 3 2 2 2 2" xfId="27692"/>
    <cellStyle name="Percent 2 2 3 2 2 2 2 2" xfId="27693"/>
    <cellStyle name="Percent 2 2 3 2 2 2 2 2 2" xfId="27694"/>
    <cellStyle name="Percent 2 2 3 2 2 2 2 2 2 2" xfId="27695"/>
    <cellStyle name="Percent 2 2 3 2 2 2 2 2 2 3" xfId="27696"/>
    <cellStyle name="Percent 2 2 3 2 2 2 2 2 3" xfId="27697"/>
    <cellStyle name="Percent 2 2 3 2 2 2 2 2 3 2" xfId="27698"/>
    <cellStyle name="Percent 2 2 3 2 2 2 2 2 4" xfId="27699"/>
    <cellStyle name="Percent 2 2 3 2 2 2 2 3" xfId="27700"/>
    <cellStyle name="Percent 2 2 3 2 2 2 2 3 2" xfId="27701"/>
    <cellStyle name="Percent 2 2 3 2 2 2 2 3 2 2" xfId="27702"/>
    <cellStyle name="Percent 2 2 3 2 2 2 2 3 3" xfId="27703"/>
    <cellStyle name="Percent 2 2 3 2 2 2 2 4" xfId="27704"/>
    <cellStyle name="Percent 2 2 3 2 2 2 2 4 2" xfId="27705"/>
    <cellStyle name="Percent 2 2 3 2 2 2 2 4 3" xfId="27706"/>
    <cellStyle name="Percent 2 2 3 2 2 2 2 5" xfId="27707"/>
    <cellStyle name="Percent 2 2 3 2 2 2 2 5 2" xfId="27708"/>
    <cellStyle name="Percent 2 2 3 2 2 2 2 6" xfId="27709"/>
    <cellStyle name="Percent 2 2 3 2 2 2 2 6 2" xfId="37173"/>
    <cellStyle name="Percent 2 2 3 2 2 2 2 7" xfId="27710"/>
    <cellStyle name="Percent 2 2 3 2 2 2 3" xfId="27711"/>
    <cellStyle name="Percent 2 2 3 2 2 2 3 2" xfId="27712"/>
    <cellStyle name="Percent 2 2 3 2 2 2 3 2 2" xfId="27713"/>
    <cellStyle name="Percent 2 2 3 2 2 2 3 2 2 2" xfId="27714"/>
    <cellStyle name="Percent 2 2 3 2 2 2 3 2 3" xfId="27715"/>
    <cellStyle name="Percent 2 2 3 2 2 2 3 3" xfId="27716"/>
    <cellStyle name="Percent 2 2 3 2 2 2 3 3 2" xfId="27717"/>
    <cellStyle name="Percent 2 2 3 2 2 2 3 4" xfId="27718"/>
    <cellStyle name="Percent 2 2 3 2 2 2 4" xfId="27719"/>
    <cellStyle name="Percent 2 2 3 2 2 2 4 2" xfId="27720"/>
    <cellStyle name="Percent 2 2 3 2 2 2 4 2 2" xfId="27721"/>
    <cellStyle name="Percent 2 2 3 2 2 2 4 3" xfId="27722"/>
    <cellStyle name="Percent 2 2 3 2 2 2 5" xfId="27723"/>
    <cellStyle name="Percent 2 2 3 2 2 2 5 2" xfId="27724"/>
    <cellStyle name="Percent 2 2 3 2 2 2 5 2 2" xfId="27725"/>
    <cellStyle name="Percent 2 2 3 2 2 2 5 3" xfId="27726"/>
    <cellStyle name="Percent 2 2 3 2 2 2 6" xfId="27727"/>
    <cellStyle name="Percent 2 2 3 2 2 2 6 2" xfId="27728"/>
    <cellStyle name="Percent 2 2 3 2 2 2 7" xfId="27729"/>
    <cellStyle name="Percent 2 2 3 2 2 2 7 2" xfId="37174"/>
    <cellStyle name="Percent 2 2 3 2 2 2 8" xfId="27730"/>
    <cellStyle name="Percent 2 2 3 2 2 3" xfId="27731"/>
    <cellStyle name="Percent 2 2 3 2 2 3 2" xfId="27732"/>
    <cellStyle name="Percent 2 2 3 2 2 3 2 2" xfId="27733"/>
    <cellStyle name="Percent 2 2 3 2 2 3 2 2 2" xfId="27734"/>
    <cellStyle name="Percent 2 2 3 2 2 3 2 2 3" xfId="27735"/>
    <cellStyle name="Percent 2 2 3 2 2 3 2 3" xfId="27736"/>
    <cellStyle name="Percent 2 2 3 2 2 3 2 3 2" xfId="27737"/>
    <cellStyle name="Percent 2 2 3 2 2 3 2 4" xfId="27738"/>
    <cellStyle name="Percent 2 2 3 2 2 3 3" xfId="27739"/>
    <cellStyle name="Percent 2 2 3 2 2 3 3 2" xfId="27740"/>
    <cellStyle name="Percent 2 2 3 2 2 3 3 2 2" xfId="27741"/>
    <cellStyle name="Percent 2 2 3 2 2 3 3 3" xfId="27742"/>
    <cellStyle name="Percent 2 2 3 2 2 3 4" xfId="27743"/>
    <cellStyle name="Percent 2 2 3 2 2 3 4 2" xfId="27744"/>
    <cellStyle name="Percent 2 2 3 2 2 3 4 3" xfId="27745"/>
    <cellStyle name="Percent 2 2 3 2 2 3 5" xfId="27746"/>
    <cellStyle name="Percent 2 2 3 2 2 3 5 2" xfId="27747"/>
    <cellStyle name="Percent 2 2 3 2 2 3 6" xfId="27748"/>
    <cellStyle name="Percent 2 2 3 2 2 3 6 2" xfId="37175"/>
    <cellStyle name="Percent 2 2 3 2 2 3 7" xfId="27749"/>
    <cellStyle name="Percent 2 2 3 2 2 4" xfId="27750"/>
    <cellStyle name="Percent 2 2 3 2 2 4 2" xfId="27751"/>
    <cellStyle name="Percent 2 2 3 2 2 4 2 2" xfId="27752"/>
    <cellStyle name="Percent 2 2 3 2 2 4 2 2 2" xfId="27753"/>
    <cellStyle name="Percent 2 2 3 2 2 4 2 3" xfId="27754"/>
    <cellStyle name="Percent 2 2 3 2 2 4 3" xfId="27755"/>
    <cellStyle name="Percent 2 2 3 2 2 4 3 2" xfId="27756"/>
    <cellStyle name="Percent 2 2 3 2 2 4 4" xfId="27757"/>
    <cellStyle name="Percent 2 2 3 2 2 5" xfId="27758"/>
    <cellStyle name="Percent 2 2 3 2 2 5 2" xfId="27759"/>
    <cellStyle name="Percent 2 2 3 2 2 5 2 2" xfId="27760"/>
    <cellStyle name="Percent 2 2 3 2 2 5 3" xfId="27761"/>
    <cellStyle name="Percent 2 2 3 2 2 6" xfId="27762"/>
    <cellStyle name="Percent 2 2 3 2 2 6 2" xfId="27763"/>
    <cellStyle name="Percent 2 2 3 2 2 6 2 2" xfId="27764"/>
    <cellStyle name="Percent 2 2 3 2 2 6 3" xfId="27765"/>
    <cellStyle name="Percent 2 2 3 2 2 7" xfId="27766"/>
    <cellStyle name="Percent 2 2 3 2 2 7 2" xfId="27767"/>
    <cellStyle name="Percent 2 2 3 2 2 8" xfId="27768"/>
    <cellStyle name="Percent 2 2 3 2 2 8 2" xfId="37176"/>
    <cellStyle name="Percent 2 2 3 2 2 9" xfId="27769"/>
    <cellStyle name="Percent 2 2 3 2 3" xfId="27770"/>
    <cellStyle name="Percent 2 2 3 2 3 2" xfId="27771"/>
    <cellStyle name="Percent 2 2 3 2 3 2 2" xfId="27772"/>
    <cellStyle name="Percent 2 2 3 2 3 2 2 2" xfId="27773"/>
    <cellStyle name="Percent 2 2 3 2 3 2 2 2 2" xfId="27774"/>
    <cellStyle name="Percent 2 2 3 2 3 2 2 2 3" xfId="27775"/>
    <cellStyle name="Percent 2 2 3 2 3 2 2 3" xfId="27776"/>
    <cellStyle name="Percent 2 2 3 2 3 2 2 3 2" xfId="27777"/>
    <cellStyle name="Percent 2 2 3 2 3 2 2 4" xfId="27778"/>
    <cellStyle name="Percent 2 2 3 2 3 2 3" xfId="27779"/>
    <cellStyle name="Percent 2 2 3 2 3 2 3 2" xfId="27780"/>
    <cellStyle name="Percent 2 2 3 2 3 2 3 2 2" xfId="27781"/>
    <cellStyle name="Percent 2 2 3 2 3 2 3 3" xfId="27782"/>
    <cellStyle name="Percent 2 2 3 2 3 2 4" xfId="27783"/>
    <cellStyle name="Percent 2 2 3 2 3 2 4 2" xfId="27784"/>
    <cellStyle name="Percent 2 2 3 2 3 2 4 3" xfId="27785"/>
    <cellStyle name="Percent 2 2 3 2 3 2 5" xfId="27786"/>
    <cellStyle name="Percent 2 2 3 2 3 2 5 2" xfId="27787"/>
    <cellStyle name="Percent 2 2 3 2 3 2 6" xfId="27788"/>
    <cellStyle name="Percent 2 2 3 2 3 2 6 2" xfId="37177"/>
    <cellStyle name="Percent 2 2 3 2 3 2 7" xfId="27789"/>
    <cellStyle name="Percent 2 2 3 2 3 3" xfId="27790"/>
    <cellStyle name="Percent 2 2 3 2 3 3 2" xfId="27791"/>
    <cellStyle name="Percent 2 2 3 2 3 3 2 2" xfId="27792"/>
    <cellStyle name="Percent 2 2 3 2 3 3 2 2 2" xfId="27793"/>
    <cellStyle name="Percent 2 2 3 2 3 3 2 3" xfId="27794"/>
    <cellStyle name="Percent 2 2 3 2 3 3 3" xfId="27795"/>
    <cellStyle name="Percent 2 2 3 2 3 3 3 2" xfId="27796"/>
    <cellStyle name="Percent 2 2 3 2 3 3 4" xfId="27797"/>
    <cellStyle name="Percent 2 2 3 2 3 4" xfId="27798"/>
    <cellStyle name="Percent 2 2 3 2 3 4 2" xfId="27799"/>
    <cellStyle name="Percent 2 2 3 2 3 4 2 2" xfId="27800"/>
    <cellStyle name="Percent 2 2 3 2 3 4 3" xfId="27801"/>
    <cellStyle name="Percent 2 2 3 2 3 5" xfId="27802"/>
    <cellStyle name="Percent 2 2 3 2 3 5 2" xfId="27803"/>
    <cellStyle name="Percent 2 2 3 2 3 5 2 2" xfId="27804"/>
    <cellStyle name="Percent 2 2 3 2 3 5 3" xfId="27805"/>
    <cellStyle name="Percent 2 2 3 2 3 6" xfId="27806"/>
    <cellStyle name="Percent 2 2 3 2 3 6 2" xfId="27807"/>
    <cellStyle name="Percent 2 2 3 2 3 7" xfId="27808"/>
    <cellStyle name="Percent 2 2 3 2 3 7 2" xfId="37178"/>
    <cellStyle name="Percent 2 2 3 2 3 8" xfId="27809"/>
    <cellStyle name="Percent 2 2 3 2 4" xfId="27810"/>
    <cellStyle name="Percent 2 2 3 2 4 2" xfId="27811"/>
    <cellStyle name="Percent 2 2 3 2 4 2 2" xfId="27812"/>
    <cellStyle name="Percent 2 2 3 2 4 2 2 2" xfId="27813"/>
    <cellStyle name="Percent 2 2 3 2 4 2 2 3" xfId="27814"/>
    <cellStyle name="Percent 2 2 3 2 4 2 3" xfId="27815"/>
    <cellStyle name="Percent 2 2 3 2 4 2 3 2" xfId="27816"/>
    <cellStyle name="Percent 2 2 3 2 4 2 4" xfId="27817"/>
    <cellStyle name="Percent 2 2 3 2 4 3" xfId="27818"/>
    <cellStyle name="Percent 2 2 3 2 4 3 2" xfId="27819"/>
    <cellStyle name="Percent 2 2 3 2 4 3 2 2" xfId="27820"/>
    <cellStyle name="Percent 2 2 3 2 4 3 3" xfId="27821"/>
    <cellStyle name="Percent 2 2 3 2 4 4" xfId="27822"/>
    <cellStyle name="Percent 2 2 3 2 4 4 2" xfId="27823"/>
    <cellStyle name="Percent 2 2 3 2 4 4 3" xfId="27824"/>
    <cellStyle name="Percent 2 2 3 2 4 5" xfId="27825"/>
    <cellStyle name="Percent 2 2 3 2 4 5 2" xfId="27826"/>
    <cellStyle name="Percent 2 2 3 2 4 6" xfId="27827"/>
    <cellStyle name="Percent 2 2 3 2 4 6 2" xfId="37179"/>
    <cellStyle name="Percent 2 2 3 2 4 7" xfId="27828"/>
    <cellStyle name="Percent 2 2 3 2 5" xfId="27829"/>
    <cellStyle name="Percent 2 2 3 2 5 2" xfId="27830"/>
    <cellStyle name="Percent 2 2 3 2 5 2 2" xfId="27831"/>
    <cellStyle name="Percent 2 2 3 2 5 2 2 2" xfId="27832"/>
    <cellStyle name="Percent 2 2 3 2 5 2 3" xfId="27833"/>
    <cellStyle name="Percent 2 2 3 2 5 3" xfId="27834"/>
    <cellStyle name="Percent 2 2 3 2 5 3 2" xfId="27835"/>
    <cellStyle name="Percent 2 2 3 2 5 4" xfId="27836"/>
    <cellStyle name="Percent 2 2 3 2 6" xfId="27837"/>
    <cellStyle name="Percent 2 2 3 2 6 2" xfId="27838"/>
    <cellStyle name="Percent 2 2 3 2 6 2 2" xfId="27839"/>
    <cellStyle name="Percent 2 2 3 2 6 3" xfId="27840"/>
    <cellStyle name="Percent 2 2 3 2 7" xfId="27841"/>
    <cellStyle name="Percent 2 2 3 2 7 2" xfId="27842"/>
    <cellStyle name="Percent 2 2 3 2 7 2 2" xfId="27843"/>
    <cellStyle name="Percent 2 2 3 2 7 3" xfId="27844"/>
    <cellStyle name="Percent 2 2 3 2 8" xfId="27845"/>
    <cellStyle name="Percent 2 2 3 2 8 2" xfId="27846"/>
    <cellStyle name="Percent 2 2 3 2 9" xfId="27847"/>
    <cellStyle name="Percent 2 2 3 2 9 2" xfId="37180"/>
    <cellStyle name="Percent 2 2 3 3" xfId="27848"/>
    <cellStyle name="Percent 2 2 3 3 2" xfId="27849"/>
    <cellStyle name="Percent 2 2 3 3 2 2" xfId="27850"/>
    <cellStyle name="Percent 2 2 3 3 2 2 2" xfId="27851"/>
    <cellStyle name="Percent 2 2 3 3 2 2 2 2" xfId="27852"/>
    <cellStyle name="Percent 2 2 3 3 2 2 2 2 2" xfId="27853"/>
    <cellStyle name="Percent 2 2 3 3 2 2 2 2 3" xfId="27854"/>
    <cellStyle name="Percent 2 2 3 3 2 2 2 3" xfId="27855"/>
    <cellStyle name="Percent 2 2 3 3 2 2 2 3 2" xfId="27856"/>
    <cellStyle name="Percent 2 2 3 3 2 2 2 4" xfId="27857"/>
    <cellStyle name="Percent 2 2 3 3 2 2 3" xfId="27858"/>
    <cellStyle name="Percent 2 2 3 3 2 2 3 2" xfId="27859"/>
    <cellStyle name="Percent 2 2 3 3 2 2 3 2 2" xfId="27860"/>
    <cellStyle name="Percent 2 2 3 3 2 2 3 3" xfId="27861"/>
    <cellStyle name="Percent 2 2 3 3 2 2 4" xfId="27862"/>
    <cellStyle name="Percent 2 2 3 3 2 2 4 2" xfId="27863"/>
    <cellStyle name="Percent 2 2 3 3 2 2 4 3" xfId="27864"/>
    <cellStyle name="Percent 2 2 3 3 2 2 5" xfId="27865"/>
    <cellStyle name="Percent 2 2 3 3 2 2 5 2" xfId="27866"/>
    <cellStyle name="Percent 2 2 3 3 2 2 6" xfId="27867"/>
    <cellStyle name="Percent 2 2 3 3 2 2 6 2" xfId="37181"/>
    <cellStyle name="Percent 2 2 3 3 2 2 7" xfId="27868"/>
    <cellStyle name="Percent 2 2 3 3 2 3" xfId="27869"/>
    <cellStyle name="Percent 2 2 3 3 2 3 2" xfId="27870"/>
    <cellStyle name="Percent 2 2 3 3 2 3 2 2" xfId="27871"/>
    <cellStyle name="Percent 2 2 3 3 2 3 2 2 2" xfId="27872"/>
    <cellStyle name="Percent 2 2 3 3 2 3 2 3" xfId="27873"/>
    <cellStyle name="Percent 2 2 3 3 2 3 3" xfId="27874"/>
    <cellStyle name="Percent 2 2 3 3 2 3 3 2" xfId="27875"/>
    <cellStyle name="Percent 2 2 3 3 2 3 4" xfId="27876"/>
    <cellStyle name="Percent 2 2 3 3 2 4" xfId="27877"/>
    <cellStyle name="Percent 2 2 3 3 2 4 2" xfId="27878"/>
    <cellStyle name="Percent 2 2 3 3 2 4 2 2" xfId="27879"/>
    <cellStyle name="Percent 2 2 3 3 2 4 3" xfId="27880"/>
    <cellStyle name="Percent 2 2 3 3 2 5" xfId="27881"/>
    <cellStyle name="Percent 2 2 3 3 2 5 2" xfId="27882"/>
    <cellStyle name="Percent 2 2 3 3 2 5 2 2" xfId="27883"/>
    <cellStyle name="Percent 2 2 3 3 2 5 3" xfId="27884"/>
    <cellStyle name="Percent 2 2 3 3 2 6" xfId="27885"/>
    <cellStyle name="Percent 2 2 3 3 2 6 2" xfId="27886"/>
    <cellStyle name="Percent 2 2 3 3 2 7" xfId="27887"/>
    <cellStyle name="Percent 2 2 3 3 2 7 2" xfId="37182"/>
    <cellStyle name="Percent 2 2 3 3 2 8" xfId="27888"/>
    <cellStyle name="Percent 2 2 3 3 3" xfId="27889"/>
    <cellStyle name="Percent 2 2 3 3 3 2" xfId="27890"/>
    <cellStyle name="Percent 2 2 3 3 3 2 2" xfId="27891"/>
    <cellStyle name="Percent 2 2 3 3 3 2 2 2" xfId="27892"/>
    <cellStyle name="Percent 2 2 3 3 3 2 2 3" xfId="27893"/>
    <cellStyle name="Percent 2 2 3 3 3 2 3" xfId="27894"/>
    <cellStyle name="Percent 2 2 3 3 3 2 3 2" xfId="27895"/>
    <cellStyle name="Percent 2 2 3 3 3 2 4" xfId="27896"/>
    <cellStyle name="Percent 2 2 3 3 3 3" xfId="27897"/>
    <cellStyle name="Percent 2 2 3 3 3 3 2" xfId="27898"/>
    <cellStyle name="Percent 2 2 3 3 3 3 2 2" xfId="27899"/>
    <cellStyle name="Percent 2 2 3 3 3 3 3" xfId="27900"/>
    <cellStyle name="Percent 2 2 3 3 3 4" xfId="27901"/>
    <cellStyle name="Percent 2 2 3 3 3 4 2" xfId="27902"/>
    <cellStyle name="Percent 2 2 3 3 3 4 3" xfId="27903"/>
    <cellStyle name="Percent 2 2 3 3 3 5" xfId="27904"/>
    <cellStyle name="Percent 2 2 3 3 3 5 2" xfId="27905"/>
    <cellStyle name="Percent 2 2 3 3 3 6" xfId="27906"/>
    <cellStyle name="Percent 2 2 3 3 3 6 2" xfId="37183"/>
    <cellStyle name="Percent 2 2 3 3 3 7" xfId="27907"/>
    <cellStyle name="Percent 2 2 3 3 4" xfId="27908"/>
    <cellStyle name="Percent 2 2 3 3 4 2" xfId="27909"/>
    <cellStyle name="Percent 2 2 3 3 4 2 2" xfId="27910"/>
    <cellStyle name="Percent 2 2 3 3 4 2 2 2" xfId="27911"/>
    <cellStyle name="Percent 2 2 3 3 4 2 3" xfId="27912"/>
    <cellStyle name="Percent 2 2 3 3 4 3" xfId="27913"/>
    <cellStyle name="Percent 2 2 3 3 4 3 2" xfId="27914"/>
    <cellStyle name="Percent 2 2 3 3 4 4" xfId="27915"/>
    <cellStyle name="Percent 2 2 3 3 5" xfId="27916"/>
    <cellStyle name="Percent 2 2 3 3 5 2" xfId="27917"/>
    <cellStyle name="Percent 2 2 3 3 5 2 2" xfId="27918"/>
    <cellStyle name="Percent 2 2 3 3 5 3" xfId="27919"/>
    <cellStyle name="Percent 2 2 3 3 6" xfId="27920"/>
    <cellStyle name="Percent 2 2 3 3 6 2" xfId="27921"/>
    <cellStyle name="Percent 2 2 3 3 6 2 2" xfId="27922"/>
    <cellStyle name="Percent 2 2 3 3 6 3" xfId="27923"/>
    <cellStyle name="Percent 2 2 3 3 7" xfId="27924"/>
    <cellStyle name="Percent 2 2 3 3 7 2" xfId="27925"/>
    <cellStyle name="Percent 2 2 3 3 8" xfId="27926"/>
    <cellStyle name="Percent 2 2 3 3 8 2" xfId="37184"/>
    <cellStyle name="Percent 2 2 3 3 9" xfId="27927"/>
    <cellStyle name="Percent 2 2 3 4" xfId="27928"/>
    <cellStyle name="Percent 2 2 3 4 2" xfId="27929"/>
    <cellStyle name="Percent 2 2 3 4 2 2" xfId="27930"/>
    <cellStyle name="Percent 2 2 3 4 2 2 2" xfId="27931"/>
    <cellStyle name="Percent 2 2 3 4 2 2 2 2" xfId="27932"/>
    <cellStyle name="Percent 2 2 3 4 2 2 2 2 2" xfId="27933"/>
    <cellStyle name="Percent 2 2 3 4 2 2 2 2 3" xfId="27934"/>
    <cellStyle name="Percent 2 2 3 4 2 2 2 3" xfId="27935"/>
    <cellStyle name="Percent 2 2 3 4 2 2 2 3 2" xfId="27936"/>
    <cellStyle name="Percent 2 2 3 4 2 2 2 4" xfId="27937"/>
    <cellStyle name="Percent 2 2 3 4 2 2 3" xfId="27938"/>
    <cellStyle name="Percent 2 2 3 4 2 2 3 2" xfId="27939"/>
    <cellStyle name="Percent 2 2 3 4 2 2 3 2 2" xfId="27940"/>
    <cellStyle name="Percent 2 2 3 4 2 2 3 3" xfId="27941"/>
    <cellStyle name="Percent 2 2 3 4 2 2 4" xfId="27942"/>
    <cellStyle name="Percent 2 2 3 4 2 2 4 2" xfId="27943"/>
    <cellStyle name="Percent 2 2 3 4 2 2 4 3" xfId="27944"/>
    <cellStyle name="Percent 2 2 3 4 2 2 5" xfId="27945"/>
    <cellStyle name="Percent 2 2 3 4 2 2 5 2" xfId="27946"/>
    <cellStyle name="Percent 2 2 3 4 2 2 6" xfId="27947"/>
    <cellStyle name="Percent 2 2 3 4 2 2 6 2" xfId="37185"/>
    <cellStyle name="Percent 2 2 3 4 2 2 7" xfId="27948"/>
    <cellStyle name="Percent 2 2 3 4 2 3" xfId="27949"/>
    <cellStyle name="Percent 2 2 3 4 2 3 2" xfId="27950"/>
    <cellStyle name="Percent 2 2 3 4 2 3 2 2" xfId="27951"/>
    <cellStyle name="Percent 2 2 3 4 2 3 2 2 2" xfId="27952"/>
    <cellStyle name="Percent 2 2 3 4 2 3 2 3" xfId="27953"/>
    <cellStyle name="Percent 2 2 3 4 2 3 3" xfId="27954"/>
    <cellStyle name="Percent 2 2 3 4 2 3 3 2" xfId="27955"/>
    <cellStyle name="Percent 2 2 3 4 2 3 4" xfId="27956"/>
    <cellStyle name="Percent 2 2 3 4 2 4" xfId="27957"/>
    <cellStyle name="Percent 2 2 3 4 2 4 2" xfId="27958"/>
    <cellStyle name="Percent 2 2 3 4 2 4 2 2" xfId="27959"/>
    <cellStyle name="Percent 2 2 3 4 2 4 3" xfId="27960"/>
    <cellStyle name="Percent 2 2 3 4 2 5" xfId="27961"/>
    <cellStyle name="Percent 2 2 3 4 2 5 2" xfId="27962"/>
    <cellStyle name="Percent 2 2 3 4 2 5 2 2" xfId="27963"/>
    <cellStyle name="Percent 2 2 3 4 2 5 3" xfId="27964"/>
    <cellStyle name="Percent 2 2 3 4 2 6" xfId="27965"/>
    <cellStyle name="Percent 2 2 3 4 2 6 2" xfId="27966"/>
    <cellStyle name="Percent 2 2 3 4 2 7" xfId="27967"/>
    <cellStyle name="Percent 2 2 3 4 2 7 2" xfId="37186"/>
    <cellStyle name="Percent 2 2 3 4 2 8" xfId="27968"/>
    <cellStyle name="Percent 2 2 3 4 3" xfId="27969"/>
    <cellStyle name="Percent 2 2 3 4 3 2" xfId="27970"/>
    <cellStyle name="Percent 2 2 3 4 3 2 2" xfId="27971"/>
    <cellStyle name="Percent 2 2 3 4 3 2 2 2" xfId="27972"/>
    <cellStyle name="Percent 2 2 3 4 3 2 2 3" xfId="27973"/>
    <cellStyle name="Percent 2 2 3 4 3 2 3" xfId="27974"/>
    <cellStyle name="Percent 2 2 3 4 3 2 3 2" xfId="27975"/>
    <cellStyle name="Percent 2 2 3 4 3 2 4" xfId="27976"/>
    <cellStyle name="Percent 2 2 3 4 3 3" xfId="27977"/>
    <cellStyle name="Percent 2 2 3 4 3 3 2" xfId="27978"/>
    <cellStyle name="Percent 2 2 3 4 3 3 2 2" xfId="27979"/>
    <cellStyle name="Percent 2 2 3 4 3 3 3" xfId="27980"/>
    <cellStyle name="Percent 2 2 3 4 3 4" xfId="27981"/>
    <cellStyle name="Percent 2 2 3 4 3 4 2" xfId="27982"/>
    <cellStyle name="Percent 2 2 3 4 3 4 3" xfId="27983"/>
    <cellStyle name="Percent 2 2 3 4 3 5" xfId="27984"/>
    <cellStyle name="Percent 2 2 3 4 3 5 2" xfId="27985"/>
    <cellStyle name="Percent 2 2 3 4 3 6" xfId="27986"/>
    <cellStyle name="Percent 2 2 3 4 3 6 2" xfId="37187"/>
    <cellStyle name="Percent 2 2 3 4 3 7" xfId="27987"/>
    <cellStyle name="Percent 2 2 3 4 4" xfId="27988"/>
    <cellStyle name="Percent 2 2 3 4 4 2" xfId="27989"/>
    <cellStyle name="Percent 2 2 3 4 4 2 2" xfId="27990"/>
    <cellStyle name="Percent 2 2 3 4 4 2 2 2" xfId="27991"/>
    <cellStyle name="Percent 2 2 3 4 4 2 3" xfId="27992"/>
    <cellStyle name="Percent 2 2 3 4 4 3" xfId="27993"/>
    <cellStyle name="Percent 2 2 3 4 4 3 2" xfId="27994"/>
    <cellStyle name="Percent 2 2 3 4 4 4" xfId="27995"/>
    <cellStyle name="Percent 2 2 3 4 5" xfId="27996"/>
    <cellStyle name="Percent 2 2 3 4 5 2" xfId="27997"/>
    <cellStyle name="Percent 2 2 3 4 5 2 2" xfId="27998"/>
    <cellStyle name="Percent 2 2 3 4 5 3" xfId="27999"/>
    <cellStyle name="Percent 2 2 3 4 6" xfId="28000"/>
    <cellStyle name="Percent 2 2 3 4 6 2" xfId="28001"/>
    <cellStyle name="Percent 2 2 3 4 6 2 2" xfId="28002"/>
    <cellStyle name="Percent 2 2 3 4 6 3" xfId="28003"/>
    <cellStyle name="Percent 2 2 3 4 7" xfId="28004"/>
    <cellStyle name="Percent 2 2 3 4 7 2" xfId="28005"/>
    <cellStyle name="Percent 2 2 3 4 8" xfId="28006"/>
    <cellStyle name="Percent 2 2 3 4 8 2" xfId="37188"/>
    <cellStyle name="Percent 2 2 3 4 9" xfId="28007"/>
    <cellStyle name="Percent 2 2 3 5" xfId="28008"/>
    <cellStyle name="Percent 2 2 3 5 2" xfId="28009"/>
    <cellStyle name="Percent 2 2 3 5 2 2" xfId="28010"/>
    <cellStyle name="Percent 2 2 3 5 2 2 2" xfId="28011"/>
    <cellStyle name="Percent 2 2 3 5 2 2 2 2" xfId="28012"/>
    <cellStyle name="Percent 2 2 3 5 2 2 2 3" xfId="28013"/>
    <cellStyle name="Percent 2 2 3 5 2 2 3" xfId="28014"/>
    <cellStyle name="Percent 2 2 3 5 2 2 3 2" xfId="28015"/>
    <cellStyle name="Percent 2 2 3 5 2 2 4" xfId="28016"/>
    <cellStyle name="Percent 2 2 3 5 2 3" xfId="28017"/>
    <cellStyle name="Percent 2 2 3 5 2 3 2" xfId="28018"/>
    <cellStyle name="Percent 2 2 3 5 2 3 2 2" xfId="28019"/>
    <cellStyle name="Percent 2 2 3 5 2 3 3" xfId="28020"/>
    <cellStyle name="Percent 2 2 3 5 2 4" xfId="28021"/>
    <cellStyle name="Percent 2 2 3 5 2 4 2" xfId="28022"/>
    <cellStyle name="Percent 2 2 3 5 2 4 3" xfId="28023"/>
    <cellStyle name="Percent 2 2 3 5 2 5" xfId="28024"/>
    <cellStyle name="Percent 2 2 3 5 2 5 2" xfId="28025"/>
    <cellStyle name="Percent 2 2 3 5 2 6" xfId="28026"/>
    <cellStyle name="Percent 2 2 3 5 2 6 2" xfId="37189"/>
    <cellStyle name="Percent 2 2 3 5 2 7" xfId="28027"/>
    <cellStyle name="Percent 2 2 3 5 3" xfId="28028"/>
    <cellStyle name="Percent 2 2 3 5 3 2" xfId="28029"/>
    <cellStyle name="Percent 2 2 3 5 3 2 2" xfId="28030"/>
    <cellStyle name="Percent 2 2 3 5 3 2 2 2" xfId="28031"/>
    <cellStyle name="Percent 2 2 3 5 3 2 3" xfId="28032"/>
    <cellStyle name="Percent 2 2 3 5 3 3" xfId="28033"/>
    <cellStyle name="Percent 2 2 3 5 3 3 2" xfId="28034"/>
    <cellStyle name="Percent 2 2 3 5 3 4" xfId="28035"/>
    <cellStyle name="Percent 2 2 3 5 4" xfId="28036"/>
    <cellStyle name="Percent 2 2 3 5 4 2" xfId="28037"/>
    <cellStyle name="Percent 2 2 3 5 4 2 2" xfId="28038"/>
    <cellStyle name="Percent 2 2 3 5 4 3" xfId="28039"/>
    <cellStyle name="Percent 2 2 3 5 5" xfId="28040"/>
    <cellStyle name="Percent 2 2 3 5 5 2" xfId="28041"/>
    <cellStyle name="Percent 2 2 3 5 5 2 2" xfId="28042"/>
    <cellStyle name="Percent 2 2 3 5 5 3" xfId="28043"/>
    <cellStyle name="Percent 2 2 3 5 6" xfId="28044"/>
    <cellStyle name="Percent 2 2 3 5 6 2" xfId="28045"/>
    <cellStyle name="Percent 2 2 3 5 7" xfId="28046"/>
    <cellStyle name="Percent 2 2 3 5 7 2" xfId="37190"/>
    <cellStyle name="Percent 2 2 3 5 8" xfId="28047"/>
    <cellStyle name="Percent 2 2 3 6" xfId="28048"/>
    <cellStyle name="Percent 2 2 3 6 2" xfId="28049"/>
    <cellStyle name="Percent 2 2 3 6 2 2" xfId="28050"/>
    <cellStyle name="Percent 2 2 3 6 2 2 2" xfId="28051"/>
    <cellStyle name="Percent 2 2 3 6 2 2 2 2" xfId="28052"/>
    <cellStyle name="Percent 2 2 3 6 2 2 2 3" xfId="28053"/>
    <cellStyle name="Percent 2 2 3 6 2 2 3" xfId="28054"/>
    <cellStyle name="Percent 2 2 3 6 2 2 3 2" xfId="28055"/>
    <cellStyle name="Percent 2 2 3 6 2 2 4" xfId="28056"/>
    <cellStyle name="Percent 2 2 3 6 2 3" xfId="28057"/>
    <cellStyle name="Percent 2 2 3 6 2 3 2" xfId="28058"/>
    <cellStyle name="Percent 2 2 3 6 2 3 2 2" xfId="28059"/>
    <cellStyle name="Percent 2 2 3 6 2 3 3" xfId="28060"/>
    <cellStyle name="Percent 2 2 3 6 2 4" xfId="28061"/>
    <cellStyle name="Percent 2 2 3 6 2 4 2" xfId="28062"/>
    <cellStyle name="Percent 2 2 3 6 2 4 3" xfId="28063"/>
    <cellStyle name="Percent 2 2 3 6 2 5" xfId="28064"/>
    <cellStyle name="Percent 2 2 3 6 2 5 2" xfId="28065"/>
    <cellStyle name="Percent 2 2 3 6 2 6" xfId="28066"/>
    <cellStyle name="Percent 2 2 3 6 2 6 2" xfId="37191"/>
    <cellStyle name="Percent 2 2 3 6 2 7" xfId="28067"/>
    <cellStyle name="Percent 2 2 3 6 3" xfId="28068"/>
    <cellStyle name="Percent 2 2 3 6 3 2" xfId="28069"/>
    <cellStyle name="Percent 2 2 3 6 3 2 2" xfId="28070"/>
    <cellStyle name="Percent 2 2 3 6 3 2 2 2" xfId="28071"/>
    <cellStyle name="Percent 2 2 3 6 3 2 3" xfId="28072"/>
    <cellStyle name="Percent 2 2 3 6 3 3" xfId="28073"/>
    <cellStyle name="Percent 2 2 3 6 3 3 2" xfId="28074"/>
    <cellStyle name="Percent 2 2 3 6 3 4" xfId="28075"/>
    <cellStyle name="Percent 2 2 3 6 4" xfId="28076"/>
    <cellStyle name="Percent 2 2 3 6 4 2" xfId="28077"/>
    <cellStyle name="Percent 2 2 3 6 4 2 2" xfId="28078"/>
    <cellStyle name="Percent 2 2 3 6 4 3" xfId="28079"/>
    <cellStyle name="Percent 2 2 3 6 5" xfId="28080"/>
    <cellStyle name="Percent 2 2 3 6 5 2" xfId="28081"/>
    <cellStyle name="Percent 2 2 3 6 5 2 2" xfId="28082"/>
    <cellStyle name="Percent 2 2 3 6 5 3" xfId="28083"/>
    <cellStyle name="Percent 2 2 3 6 6" xfId="28084"/>
    <cellStyle name="Percent 2 2 3 6 6 2" xfId="28085"/>
    <cellStyle name="Percent 2 2 3 6 7" xfId="28086"/>
    <cellStyle name="Percent 2 2 3 6 7 2" xfId="37192"/>
    <cellStyle name="Percent 2 2 3 6 8" xfId="28087"/>
    <cellStyle name="Percent 2 2 3 7" xfId="28088"/>
    <cellStyle name="Percent 2 2 3 7 2" xfId="28089"/>
    <cellStyle name="Percent 2 2 3 7 2 2" xfId="28090"/>
    <cellStyle name="Percent 2 2 3 7 2 2 2" xfId="28091"/>
    <cellStyle name="Percent 2 2 3 7 2 2 2 2" xfId="28092"/>
    <cellStyle name="Percent 2 2 3 7 2 2 2 3" xfId="28093"/>
    <cellStyle name="Percent 2 2 3 7 2 2 3" xfId="28094"/>
    <cellStyle name="Percent 2 2 3 7 2 2 3 2" xfId="28095"/>
    <cellStyle name="Percent 2 2 3 7 2 2 4" xfId="28096"/>
    <cellStyle name="Percent 2 2 3 7 2 3" xfId="28097"/>
    <cellStyle name="Percent 2 2 3 7 2 3 2" xfId="28098"/>
    <cellStyle name="Percent 2 2 3 7 2 3 2 2" xfId="28099"/>
    <cellStyle name="Percent 2 2 3 7 2 3 3" xfId="28100"/>
    <cellStyle name="Percent 2 2 3 7 2 4" xfId="28101"/>
    <cellStyle name="Percent 2 2 3 7 2 4 2" xfId="28102"/>
    <cellStyle name="Percent 2 2 3 7 2 4 3" xfId="28103"/>
    <cellStyle name="Percent 2 2 3 7 2 5" xfId="28104"/>
    <cellStyle name="Percent 2 2 3 7 2 5 2" xfId="28105"/>
    <cellStyle name="Percent 2 2 3 7 2 6" xfId="28106"/>
    <cellStyle name="Percent 2 2 3 7 2 6 2" xfId="37193"/>
    <cellStyle name="Percent 2 2 3 7 2 7" xfId="28107"/>
    <cellStyle name="Percent 2 2 3 7 3" xfId="28108"/>
    <cellStyle name="Percent 2 2 3 7 3 2" xfId="28109"/>
    <cellStyle name="Percent 2 2 3 7 3 2 2" xfId="28110"/>
    <cellStyle name="Percent 2 2 3 7 3 2 2 2" xfId="28111"/>
    <cellStyle name="Percent 2 2 3 7 3 2 3" xfId="28112"/>
    <cellStyle name="Percent 2 2 3 7 3 3" xfId="28113"/>
    <cellStyle name="Percent 2 2 3 7 3 3 2" xfId="28114"/>
    <cellStyle name="Percent 2 2 3 7 3 4" xfId="28115"/>
    <cellStyle name="Percent 2 2 3 7 4" xfId="28116"/>
    <cellStyle name="Percent 2 2 3 7 4 2" xfId="28117"/>
    <cellStyle name="Percent 2 2 3 7 4 2 2" xfId="28118"/>
    <cellStyle name="Percent 2 2 3 7 4 3" xfId="28119"/>
    <cellStyle name="Percent 2 2 3 7 5" xfId="28120"/>
    <cellStyle name="Percent 2 2 3 7 5 2" xfId="28121"/>
    <cellStyle name="Percent 2 2 3 7 5 2 2" xfId="28122"/>
    <cellStyle name="Percent 2 2 3 7 5 3" xfId="28123"/>
    <cellStyle name="Percent 2 2 3 7 6" xfId="28124"/>
    <cellStyle name="Percent 2 2 3 7 6 2" xfId="28125"/>
    <cellStyle name="Percent 2 2 3 7 7" xfId="28126"/>
    <cellStyle name="Percent 2 2 3 7 7 2" xfId="37194"/>
    <cellStyle name="Percent 2 2 3 7 8" xfId="28127"/>
    <cellStyle name="Percent 2 2 3 8" xfId="28128"/>
    <cellStyle name="Percent 2 2 3 8 2" xfId="28129"/>
    <cellStyle name="Percent 2 2 3 8 2 2" xfId="28130"/>
    <cellStyle name="Percent 2 2 3 8 2 2 2" xfId="28131"/>
    <cellStyle name="Percent 2 2 3 8 2 2 3" xfId="28132"/>
    <cellStyle name="Percent 2 2 3 8 2 3" xfId="28133"/>
    <cellStyle name="Percent 2 2 3 8 2 3 2" xfId="28134"/>
    <cellStyle name="Percent 2 2 3 8 2 4" xfId="28135"/>
    <cellStyle name="Percent 2 2 3 8 3" xfId="28136"/>
    <cellStyle name="Percent 2 2 3 8 3 2" xfId="28137"/>
    <cellStyle name="Percent 2 2 3 8 3 2 2" xfId="28138"/>
    <cellStyle name="Percent 2 2 3 8 3 3" xfId="28139"/>
    <cellStyle name="Percent 2 2 3 8 4" xfId="28140"/>
    <cellStyle name="Percent 2 2 3 8 4 2" xfId="28141"/>
    <cellStyle name="Percent 2 2 3 8 4 3" xfId="28142"/>
    <cellStyle name="Percent 2 2 3 8 5" xfId="28143"/>
    <cellStyle name="Percent 2 2 3 8 5 2" xfId="28144"/>
    <cellStyle name="Percent 2 2 3 8 6" xfId="28145"/>
    <cellStyle name="Percent 2 2 3 8 6 2" xfId="37195"/>
    <cellStyle name="Percent 2 2 3 8 7" xfId="28146"/>
    <cellStyle name="Percent 2 2 3 9" xfId="28147"/>
    <cellStyle name="Percent 2 2 3 9 2" xfId="28148"/>
    <cellStyle name="Percent 2 2 3 9 2 2" xfId="28149"/>
    <cellStyle name="Percent 2 2 3 9 2 2 2" xfId="28150"/>
    <cellStyle name="Percent 2 2 3 9 2 3" xfId="28151"/>
    <cellStyle name="Percent 2 2 3 9 3" xfId="28152"/>
    <cellStyle name="Percent 2 2 3 9 3 2" xfId="28153"/>
    <cellStyle name="Percent 2 2 3 9 4" xfId="28154"/>
    <cellStyle name="Percent 2 2 4" xfId="28155"/>
    <cellStyle name="Percent 2 2 4 10" xfId="28156"/>
    <cellStyle name="Percent 2 2 4 10 2" xfId="28157"/>
    <cellStyle name="Percent 2 2 4 11" xfId="28158"/>
    <cellStyle name="Percent 2 2 4 11 2" xfId="37196"/>
    <cellStyle name="Percent 2 2 4 12" xfId="28159"/>
    <cellStyle name="Percent 2 2 4 2" xfId="28160"/>
    <cellStyle name="Percent 2 2 4 2 10" xfId="28161"/>
    <cellStyle name="Percent 2 2 4 2 2" xfId="28162"/>
    <cellStyle name="Percent 2 2 4 2 2 2" xfId="28163"/>
    <cellStyle name="Percent 2 2 4 2 2 2 2" xfId="28164"/>
    <cellStyle name="Percent 2 2 4 2 2 2 2 2" xfId="28165"/>
    <cellStyle name="Percent 2 2 4 2 2 2 2 2 2" xfId="28166"/>
    <cellStyle name="Percent 2 2 4 2 2 2 2 2 2 2" xfId="28167"/>
    <cellStyle name="Percent 2 2 4 2 2 2 2 2 2 3" xfId="28168"/>
    <cellStyle name="Percent 2 2 4 2 2 2 2 2 3" xfId="28169"/>
    <cellStyle name="Percent 2 2 4 2 2 2 2 2 3 2" xfId="28170"/>
    <cellStyle name="Percent 2 2 4 2 2 2 2 2 4" xfId="28171"/>
    <cellStyle name="Percent 2 2 4 2 2 2 2 3" xfId="28172"/>
    <cellStyle name="Percent 2 2 4 2 2 2 2 3 2" xfId="28173"/>
    <cellStyle name="Percent 2 2 4 2 2 2 2 3 2 2" xfId="28174"/>
    <cellStyle name="Percent 2 2 4 2 2 2 2 3 3" xfId="28175"/>
    <cellStyle name="Percent 2 2 4 2 2 2 2 4" xfId="28176"/>
    <cellStyle name="Percent 2 2 4 2 2 2 2 4 2" xfId="28177"/>
    <cellStyle name="Percent 2 2 4 2 2 2 2 4 3" xfId="28178"/>
    <cellStyle name="Percent 2 2 4 2 2 2 2 5" xfId="28179"/>
    <cellStyle name="Percent 2 2 4 2 2 2 2 5 2" xfId="28180"/>
    <cellStyle name="Percent 2 2 4 2 2 2 2 6" xfId="28181"/>
    <cellStyle name="Percent 2 2 4 2 2 2 2 6 2" xfId="37197"/>
    <cellStyle name="Percent 2 2 4 2 2 2 2 7" xfId="28182"/>
    <cellStyle name="Percent 2 2 4 2 2 2 3" xfId="28183"/>
    <cellStyle name="Percent 2 2 4 2 2 2 3 2" xfId="28184"/>
    <cellStyle name="Percent 2 2 4 2 2 2 3 2 2" xfId="28185"/>
    <cellStyle name="Percent 2 2 4 2 2 2 3 2 2 2" xfId="28186"/>
    <cellStyle name="Percent 2 2 4 2 2 2 3 2 3" xfId="28187"/>
    <cellStyle name="Percent 2 2 4 2 2 2 3 3" xfId="28188"/>
    <cellStyle name="Percent 2 2 4 2 2 2 3 3 2" xfId="28189"/>
    <cellStyle name="Percent 2 2 4 2 2 2 3 4" xfId="28190"/>
    <cellStyle name="Percent 2 2 4 2 2 2 4" xfId="28191"/>
    <cellStyle name="Percent 2 2 4 2 2 2 4 2" xfId="28192"/>
    <cellStyle name="Percent 2 2 4 2 2 2 4 2 2" xfId="28193"/>
    <cellStyle name="Percent 2 2 4 2 2 2 4 3" xfId="28194"/>
    <cellStyle name="Percent 2 2 4 2 2 2 5" xfId="28195"/>
    <cellStyle name="Percent 2 2 4 2 2 2 5 2" xfId="28196"/>
    <cellStyle name="Percent 2 2 4 2 2 2 5 2 2" xfId="28197"/>
    <cellStyle name="Percent 2 2 4 2 2 2 5 3" xfId="28198"/>
    <cellStyle name="Percent 2 2 4 2 2 2 6" xfId="28199"/>
    <cellStyle name="Percent 2 2 4 2 2 2 6 2" xfId="28200"/>
    <cellStyle name="Percent 2 2 4 2 2 2 7" xfId="28201"/>
    <cellStyle name="Percent 2 2 4 2 2 2 7 2" xfId="37198"/>
    <cellStyle name="Percent 2 2 4 2 2 2 8" xfId="28202"/>
    <cellStyle name="Percent 2 2 4 2 2 3" xfId="28203"/>
    <cellStyle name="Percent 2 2 4 2 2 3 2" xfId="28204"/>
    <cellStyle name="Percent 2 2 4 2 2 3 2 2" xfId="28205"/>
    <cellStyle name="Percent 2 2 4 2 2 3 2 2 2" xfId="28206"/>
    <cellStyle name="Percent 2 2 4 2 2 3 2 2 3" xfId="28207"/>
    <cellStyle name="Percent 2 2 4 2 2 3 2 3" xfId="28208"/>
    <cellStyle name="Percent 2 2 4 2 2 3 2 3 2" xfId="28209"/>
    <cellStyle name="Percent 2 2 4 2 2 3 2 4" xfId="28210"/>
    <cellStyle name="Percent 2 2 4 2 2 3 3" xfId="28211"/>
    <cellStyle name="Percent 2 2 4 2 2 3 3 2" xfId="28212"/>
    <cellStyle name="Percent 2 2 4 2 2 3 3 2 2" xfId="28213"/>
    <cellStyle name="Percent 2 2 4 2 2 3 3 3" xfId="28214"/>
    <cellStyle name="Percent 2 2 4 2 2 3 4" xfId="28215"/>
    <cellStyle name="Percent 2 2 4 2 2 3 4 2" xfId="28216"/>
    <cellStyle name="Percent 2 2 4 2 2 3 4 3" xfId="28217"/>
    <cellStyle name="Percent 2 2 4 2 2 3 5" xfId="28218"/>
    <cellStyle name="Percent 2 2 4 2 2 3 5 2" xfId="28219"/>
    <cellStyle name="Percent 2 2 4 2 2 3 6" xfId="28220"/>
    <cellStyle name="Percent 2 2 4 2 2 3 6 2" xfId="37199"/>
    <cellStyle name="Percent 2 2 4 2 2 3 7" xfId="28221"/>
    <cellStyle name="Percent 2 2 4 2 2 4" xfId="28222"/>
    <cellStyle name="Percent 2 2 4 2 2 4 2" xfId="28223"/>
    <cellStyle name="Percent 2 2 4 2 2 4 2 2" xfId="28224"/>
    <cellStyle name="Percent 2 2 4 2 2 4 2 2 2" xfId="28225"/>
    <cellStyle name="Percent 2 2 4 2 2 4 2 3" xfId="28226"/>
    <cellStyle name="Percent 2 2 4 2 2 4 3" xfId="28227"/>
    <cellStyle name="Percent 2 2 4 2 2 4 3 2" xfId="28228"/>
    <cellStyle name="Percent 2 2 4 2 2 4 4" xfId="28229"/>
    <cellStyle name="Percent 2 2 4 2 2 5" xfId="28230"/>
    <cellStyle name="Percent 2 2 4 2 2 5 2" xfId="28231"/>
    <cellStyle name="Percent 2 2 4 2 2 5 2 2" xfId="28232"/>
    <cellStyle name="Percent 2 2 4 2 2 5 3" xfId="28233"/>
    <cellStyle name="Percent 2 2 4 2 2 6" xfId="28234"/>
    <cellStyle name="Percent 2 2 4 2 2 6 2" xfId="28235"/>
    <cellStyle name="Percent 2 2 4 2 2 6 2 2" xfId="28236"/>
    <cellStyle name="Percent 2 2 4 2 2 6 3" xfId="28237"/>
    <cellStyle name="Percent 2 2 4 2 2 7" xfId="28238"/>
    <cellStyle name="Percent 2 2 4 2 2 7 2" xfId="28239"/>
    <cellStyle name="Percent 2 2 4 2 2 8" xfId="28240"/>
    <cellStyle name="Percent 2 2 4 2 2 8 2" xfId="37200"/>
    <cellStyle name="Percent 2 2 4 2 2 9" xfId="28241"/>
    <cellStyle name="Percent 2 2 4 2 3" xfId="28242"/>
    <cellStyle name="Percent 2 2 4 2 3 2" xfId="28243"/>
    <cellStyle name="Percent 2 2 4 2 3 2 2" xfId="28244"/>
    <cellStyle name="Percent 2 2 4 2 3 2 2 2" xfId="28245"/>
    <cellStyle name="Percent 2 2 4 2 3 2 2 2 2" xfId="28246"/>
    <cellStyle name="Percent 2 2 4 2 3 2 2 2 3" xfId="28247"/>
    <cellStyle name="Percent 2 2 4 2 3 2 2 3" xfId="28248"/>
    <cellStyle name="Percent 2 2 4 2 3 2 2 3 2" xfId="28249"/>
    <cellStyle name="Percent 2 2 4 2 3 2 2 4" xfId="28250"/>
    <cellStyle name="Percent 2 2 4 2 3 2 3" xfId="28251"/>
    <cellStyle name="Percent 2 2 4 2 3 2 3 2" xfId="28252"/>
    <cellStyle name="Percent 2 2 4 2 3 2 3 2 2" xfId="28253"/>
    <cellStyle name="Percent 2 2 4 2 3 2 3 3" xfId="28254"/>
    <cellStyle name="Percent 2 2 4 2 3 2 4" xfId="28255"/>
    <cellStyle name="Percent 2 2 4 2 3 2 4 2" xfId="28256"/>
    <cellStyle name="Percent 2 2 4 2 3 2 4 3" xfId="28257"/>
    <cellStyle name="Percent 2 2 4 2 3 2 5" xfId="28258"/>
    <cellStyle name="Percent 2 2 4 2 3 2 5 2" xfId="28259"/>
    <cellStyle name="Percent 2 2 4 2 3 2 6" xfId="28260"/>
    <cellStyle name="Percent 2 2 4 2 3 2 6 2" xfId="37201"/>
    <cellStyle name="Percent 2 2 4 2 3 2 7" xfId="28261"/>
    <cellStyle name="Percent 2 2 4 2 3 3" xfId="28262"/>
    <cellStyle name="Percent 2 2 4 2 3 3 2" xfId="28263"/>
    <cellStyle name="Percent 2 2 4 2 3 3 2 2" xfId="28264"/>
    <cellStyle name="Percent 2 2 4 2 3 3 2 2 2" xfId="28265"/>
    <cellStyle name="Percent 2 2 4 2 3 3 2 3" xfId="28266"/>
    <cellStyle name="Percent 2 2 4 2 3 3 3" xfId="28267"/>
    <cellStyle name="Percent 2 2 4 2 3 3 3 2" xfId="28268"/>
    <cellStyle name="Percent 2 2 4 2 3 3 4" xfId="28269"/>
    <cellStyle name="Percent 2 2 4 2 3 4" xfId="28270"/>
    <cellStyle name="Percent 2 2 4 2 3 4 2" xfId="28271"/>
    <cellStyle name="Percent 2 2 4 2 3 4 2 2" xfId="28272"/>
    <cellStyle name="Percent 2 2 4 2 3 4 3" xfId="28273"/>
    <cellStyle name="Percent 2 2 4 2 3 5" xfId="28274"/>
    <cellStyle name="Percent 2 2 4 2 3 5 2" xfId="28275"/>
    <cellStyle name="Percent 2 2 4 2 3 5 2 2" xfId="28276"/>
    <cellStyle name="Percent 2 2 4 2 3 5 3" xfId="28277"/>
    <cellStyle name="Percent 2 2 4 2 3 6" xfId="28278"/>
    <cellStyle name="Percent 2 2 4 2 3 6 2" xfId="28279"/>
    <cellStyle name="Percent 2 2 4 2 3 7" xfId="28280"/>
    <cellStyle name="Percent 2 2 4 2 3 7 2" xfId="37202"/>
    <cellStyle name="Percent 2 2 4 2 3 8" xfId="28281"/>
    <cellStyle name="Percent 2 2 4 2 4" xfId="28282"/>
    <cellStyle name="Percent 2 2 4 2 4 2" xfId="28283"/>
    <cellStyle name="Percent 2 2 4 2 4 2 2" xfId="28284"/>
    <cellStyle name="Percent 2 2 4 2 4 2 2 2" xfId="28285"/>
    <cellStyle name="Percent 2 2 4 2 4 2 2 3" xfId="28286"/>
    <cellStyle name="Percent 2 2 4 2 4 2 3" xfId="28287"/>
    <cellStyle name="Percent 2 2 4 2 4 2 3 2" xfId="28288"/>
    <cellStyle name="Percent 2 2 4 2 4 2 4" xfId="28289"/>
    <cellStyle name="Percent 2 2 4 2 4 3" xfId="28290"/>
    <cellStyle name="Percent 2 2 4 2 4 3 2" xfId="28291"/>
    <cellStyle name="Percent 2 2 4 2 4 3 2 2" xfId="28292"/>
    <cellStyle name="Percent 2 2 4 2 4 3 3" xfId="28293"/>
    <cellStyle name="Percent 2 2 4 2 4 4" xfId="28294"/>
    <cellStyle name="Percent 2 2 4 2 4 4 2" xfId="28295"/>
    <cellStyle name="Percent 2 2 4 2 4 4 3" xfId="28296"/>
    <cellStyle name="Percent 2 2 4 2 4 5" xfId="28297"/>
    <cellStyle name="Percent 2 2 4 2 4 5 2" xfId="28298"/>
    <cellStyle name="Percent 2 2 4 2 4 6" xfId="28299"/>
    <cellStyle name="Percent 2 2 4 2 4 6 2" xfId="37203"/>
    <cellStyle name="Percent 2 2 4 2 4 7" xfId="28300"/>
    <cellStyle name="Percent 2 2 4 2 5" xfId="28301"/>
    <cellStyle name="Percent 2 2 4 2 5 2" xfId="28302"/>
    <cellStyle name="Percent 2 2 4 2 5 2 2" xfId="28303"/>
    <cellStyle name="Percent 2 2 4 2 5 2 2 2" xfId="28304"/>
    <cellStyle name="Percent 2 2 4 2 5 2 3" xfId="28305"/>
    <cellStyle name="Percent 2 2 4 2 5 3" xfId="28306"/>
    <cellStyle name="Percent 2 2 4 2 5 3 2" xfId="28307"/>
    <cellStyle name="Percent 2 2 4 2 5 4" xfId="28308"/>
    <cellStyle name="Percent 2 2 4 2 6" xfId="28309"/>
    <cellStyle name="Percent 2 2 4 2 6 2" xfId="28310"/>
    <cellStyle name="Percent 2 2 4 2 6 2 2" xfId="28311"/>
    <cellStyle name="Percent 2 2 4 2 6 3" xfId="28312"/>
    <cellStyle name="Percent 2 2 4 2 7" xfId="28313"/>
    <cellStyle name="Percent 2 2 4 2 7 2" xfId="28314"/>
    <cellStyle name="Percent 2 2 4 2 7 2 2" xfId="28315"/>
    <cellStyle name="Percent 2 2 4 2 7 3" xfId="28316"/>
    <cellStyle name="Percent 2 2 4 2 8" xfId="28317"/>
    <cellStyle name="Percent 2 2 4 2 8 2" xfId="28318"/>
    <cellStyle name="Percent 2 2 4 2 9" xfId="28319"/>
    <cellStyle name="Percent 2 2 4 2 9 2" xfId="37204"/>
    <cellStyle name="Percent 2 2 4 3" xfId="28320"/>
    <cellStyle name="Percent 2 2 4 3 2" xfId="28321"/>
    <cellStyle name="Percent 2 2 4 3 2 2" xfId="28322"/>
    <cellStyle name="Percent 2 2 4 3 2 2 2" xfId="28323"/>
    <cellStyle name="Percent 2 2 4 3 2 2 2 2" xfId="28324"/>
    <cellStyle name="Percent 2 2 4 3 2 2 2 2 2" xfId="28325"/>
    <cellStyle name="Percent 2 2 4 3 2 2 2 2 3" xfId="28326"/>
    <cellStyle name="Percent 2 2 4 3 2 2 2 3" xfId="28327"/>
    <cellStyle name="Percent 2 2 4 3 2 2 2 3 2" xfId="28328"/>
    <cellStyle name="Percent 2 2 4 3 2 2 2 4" xfId="28329"/>
    <cellStyle name="Percent 2 2 4 3 2 2 3" xfId="28330"/>
    <cellStyle name="Percent 2 2 4 3 2 2 3 2" xfId="28331"/>
    <cellStyle name="Percent 2 2 4 3 2 2 3 2 2" xfId="28332"/>
    <cellStyle name="Percent 2 2 4 3 2 2 3 3" xfId="28333"/>
    <cellStyle name="Percent 2 2 4 3 2 2 4" xfId="28334"/>
    <cellStyle name="Percent 2 2 4 3 2 2 4 2" xfId="28335"/>
    <cellStyle name="Percent 2 2 4 3 2 2 4 3" xfId="28336"/>
    <cellStyle name="Percent 2 2 4 3 2 2 5" xfId="28337"/>
    <cellStyle name="Percent 2 2 4 3 2 2 5 2" xfId="28338"/>
    <cellStyle name="Percent 2 2 4 3 2 2 6" xfId="28339"/>
    <cellStyle name="Percent 2 2 4 3 2 2 6 2" xfId="37205"/>
    <cellStyle name="Percent 2 2 4 3 2 2 7" xfId="28340"/>
    <cellStyle name="Percent 2 2 4 3 2 3" xfId="28341"/>
    <cellStyle name="Percent 2 2 4 3 2 3 2" xfId="28342"/>
    <cellStyle name="Percent 2 2 4 3 2 3 2 2" xfId="28343"/>
    <cellStyle name="Percent 2 2 4 3 2 3 2 2 2" xfId="28344"/>
    <cellStyle name="Percent 2 2 4 3 2 3 2 3" xfId="28345"/>
    <cellStyle name="Percent 2 2 4 3 2 3 3" xfId="28346"/>
    <cellStyle name="Percent 2 2 4 3 2 3 3 2" xfId="28347"/>
    <cellStyle name="Percent 2 2 4 3 2 3 4" xfId="28348"/>
    <cellStyle name="Percent 2 2 4 3 2 4" xfId="28349"/>
    <cellStyle name="Percent 2 2 4 3 2 4 2" xfId="28350"/>
    <cellStyle name="Percent 2 2 4 3 2 4 2 2" xfId="28351"/>
    <cellStyle name="Percent 2 2 4 3 2 4 3" xfId="28352"/>
    <cellStyle name="Percent 2 2 4 3 2 5" xfId="28353"/>
    <cellStyle name="Percent 2 2 4 3 2 5 2" xfId="28354"/>
    <cellStyle name="Percent 2 2 4 3 2 5 2 2" xfId="28355"/>
    <cellStyle name="Percent 2 2 4 3 2 5 3" xfId="28356"/>
    <cellStyle name="Percent 2 2 4 3 2 6" xfId="28357"/>
    <cellStyle name="Percent 2 2 4 3 2 6 2" xfId="28358"/>
    <cellStyle name="Percent 2 2 4 3 2 7" xfId="28359"/>
    <cellStyle name="Percent 2 2 4 3 2 7 2" xfId="37206"/>
    <cellStyle name="Percent 2 2 4 3 2 8" xfId="28360"/>
    <cellStyle name="Percent 2 2 4 3 3" xfId="28361"/>
    <cellStyle name="Percent 2 2 4 3 3 2" xfId="28362"/>
    <cellStyle name="Percent 2 2 4 3 3 2 2" xfId="28363"/>
    <cellStyle name="Percent 2 2 4 3 3 2 2 2" xfId="28364"/>
    <cellStyle name="Percent 2 2 4 3 3 2 2 3" xfId="28365"/>
    <cellStyle name="Percent 2 2 4 3 3 2 3" xfId="28366"/>
    <cellStyle name="Percent 2 2 4 3 3 2 3 2" xfId="28367"/>
    <cellStyle name="Percent 2 2 4 3 3 2 4" xfId="28368"/>
    <cellStyle name="Percent 2 2 4 3 3 3" xfId="28369"/>
    <cellStyle name="Percent 2 2 4 3 3 3 2" xfId="28370"/>
    <cellStyle name="Percent 2 2 4 3 3 3 2 2" xfId="28371"/>
    <cellStyle name="Percent 2 2 4 3 3 3 3" xfId="28372"/>
    <cellStyle name="Percent 2 2 4 3 3 4" xfId="28373"/>
    <cellStyle name="Percent 2 2 4 3 3 4 2" xfId="28374"/>
    <cellStyle name="Percent 2 2 4 3 3 4 3" xfId="28375"/>
    <cellStyle name="Percent 2 2 4 3 3 5" xfId="28376"/>
    <cellStyle name="Percent 2 2 4 3 3 5 2" xfId="28377"/>
    <cellStyle name="Percent 2 2 4 3 3 6" xfId="28378"/>
    <cellStyle name="Percent 2 2 4 3 3 6 2" xfId="37207"/>
    <cellStyle name="Percent 2 2 4 3 3 7" xfId="28379"/>
    <cellStyle name="Percent 2 2 4 3 4" xfId="28380"/>
    <cellStyle name="Percent 2 2 4 3 4 2" xfId="28381"/>
    <cellStyle name="Percent 2 2 4 3 4 2 2" xfId="28382"/>
    <cellStyle name="Percent 2 2 4 3 4 2 2 2" xfId="28383"/>
    <cellStyle name="Percent 2 2 4 3 4 2 3" xfId="28384"/>
    <cellStyle name="Percent 2 2 4 3 4 3" xfId="28385"/>
    <cellStyle name="Percent 2 2 4 3 4 3 2" xfId="28386"/>
    <cellStyle name="Percent 2 2 4 3 4 4" xfId="28387"/>
    <cellStyle name="Percent 2 2 4 3 5" xfId="28388"/>
    <cellStyle name="Percent 2 2 4 3 5 2" xfId="28389"/>
    <cellStyle name="Percent 2 2 4 3 5 2 2" xfId="28390"/>
    <cellStyle name="Percent 2 2 4 3 5 3" xfId="28391"/>
    <cellStyle name="Percent 2 2 4 3 6" xfId="28392"/>
    <cellStyle name="Percent 2 2 4 3 6 2" xfId="28393"/>
    <cellStyle name="Percent 2 2 4 3 6 2 2" xfId="28394"/>
    <cellStyle name="Percent 2 2 4 3 6 3" xfId="28395"/>
    <cellStyle name="Percent 2 2 4 3 7" xfId="28396"/>
    <cellStyle name="Percent 2 2 4 3 7 2" xfId="28397"/>
    <cellStyle name="Percent 2 2 4 3 8" xfId="28398"/>
    <cellStyle name="Percent 2 2 4 3 8 2" xfId="37208"/>
    <cellStyle name="Percent 2 2 4 3 9" xfId="28399"/>
    <cellStyle name="Percent 2 2 4 4" xfId="28400"/>
    <cellStyle name="Percent 2 2 4 4 2" xfId="28401"/>
    <cellStyle name="Percent 2 2 4 4 2 2" xfId="28402"/>
    <cellStyle name="Percent 2 2 4 4 2 2 2" xfId="28403"/>
    <cellStyle name="Percent 2 2 4 4 2 2 2 2" xfId="28404"/>
    <cellStyle name="Percent 2 2 4 4 2 2 2 3" xfId="28405"/>
    <cellStyle name="Percent 2 2 4 4 2 2 3" xfId="28406"/>
    <cellStyle name="Percent 2 2 4 4 2 2 3 2" xfId="28407"/>
    <cellStyle name="Percent 2 2 4 4 2 2 4" xfId="28408"/>
    <cellStyle name="Percent 2 2 4 4 2 3" xfId="28409"/>
    <cellStyle name="Percent 2 2 4 4 2 3 2" xfId="28410"/>
    <cellStyle name="Percent 2 2 4 4 2 3 2 2" xfId="28411"/>
    <cellStyle name="Percent 2 2 4 4 2 3 3" xfId="28412"/>
    <cellStyle name="Percent 2 2 4 4 2 4" xfId="28413"/>
    <cellStyle name="Percent 2 2 4 4 2 4 2" xfId="28414"/>
    <cellStyle name="Percent 2 2 4 4 2 4 3" xfId="28415"/>
    <cellStyle name="Percent 2 2 4 4 2 5" xfId="28416"/>
    <cellStyle name="Percent 2 2 4 4 2 5 2" xfId="28417"/>
    <cellStyle name="Percent 2 2 4 4 2 6" xfId="28418"/>
    <cellStyle name="Percent 2 2 4 4 2 6 2" xfId="37209"/>
    <cellStyle name="Percent 2 2 4 4 2 7" xfId="28419"/>
    <cellStyle name="Percent 2 2 4 4 3" xfId="28420"/>
    <cellStyle name="Percent 2 2 4 4 3 2" xfId="28421"/>
    <cellStyle name="Percent 2 2 4 4 3 2 2" xfId="28422"/>
    <cellStyle name="Percent 2 2 4 4 3 2 2 2" xfId="28423"/>
    <cellStyle name="Percent 2 2 4 4 3 2 3" xfId="28424"/>
    <cellStyle name="Percent 2 2 4 4 3 3" xfId="28425"/>
    <cellStyle name="Percent 2 2 4 4 3 3 2" xfId="28426"/>
    <cellStyle name="Percent 2 2 4 4 3 4" xfId="28427"/>
    <cellStyle name="Percent 2 2 4 4 4" xfId="28428"/>
    <cellStyle name="Percent 2 2 4 4 4 2" xfId="28429"/>
    <cellStyle name="Percent 2 2 4 4 4 2 2" xfId="28430"/>
    <cellStyle name="Percent 2 2 4 4 4 3" xfId="28431"/>
    <cellStyle name="Percent 2 2 4 4 5" xfId="28432"/>
    <cellStyle name="Percent 2 2 4 4 5 2" xfId="28433"/>
    <cellStyle name="Percent 2 2 4 4 5 2 2" xfId="28434"/>
    <cellStyle name="Percent 2 2 4 4 5 3" xfId="28435"/>
    <cellStyle name="Percent 2 2 4 4 6" xfId="28436"/>
    <cellStyle name="Percent 2 2 4 4 6 2" xfId="28437"/>
    <cellStyle name="Percent 2 2 4 4 7" xfId="28438"/>
    <cellStyle name="Percent 2 2 4 4 7 2" xfId="37210"/>
    <cellStyle name="Percent 2 2 4 4 8" xfId="28439"/>
    <cellStyle name="Percent 2 2 4 5" xfId="28440"/>
    <cellStyle name="Percent 2 2 4 5 2" xfId="28441"/>
    <cellStyle name="Percent 2 2 4 5 2 2" xfId="28442"/>
    <cellStyle name="Percent 2 2 4 5 2 2 2" xfId="28443"/>
    <cellStyle name="Percent 2 2 4 5 2 2 2 2" xfId="28444"/>
    <cellStyle name="Percent 2 2 4 5 2 2 2 3" xfId="28445"/>
    <cellStyle name="Percent 2 2 4 5 2 2 3" xfId="28446"/>
    <cellStyle name="Percent 2 2 4 5 2 2 3 2" xfId="28447"/>
    <cellStyle name="Percent 2 2 4 5 2 2 4" xfId="28448"/>
    <cellStyle name="Percent 2 2 4 5 2 3" xfId="28449"/>
    <cellStyle name="Percent 2 2 4 5 2 3 2" xfId="28450"/>
    <cellStyle name="Percent 2 2 4 5 2 3 2 2" xfId="28451"/>
    <cellStyle name="Percent 2 2 4 5 2 3 3" xfId="28452"/>
    <cellStyle name="Percent 2 2 4 5 2 4" xfId="28453"/>
    <cellStyle name="Percent 2 2 4 5 2 4 2" xfId="28454"/>
    <cellStyle name="Percent 2 2 4 5 2 4 3" xfId="28455"/>
    <cellStyle name="Percent 2 2 4 5 2 5" xfId="28456"/>
    <cellStyle name="Percent 2 2 4 5 2 5 2" xfId="28457"/>
    <cellStyle name="Percent 2 2 4 5 2 6" xfId="28458"/>
    <cellStyle name="Percent 2 2 4 5 2 6 2" xfId="37211"/>
    <cellStyle name="Percent 2 2 4 5 2 7" xfId="28459"/>
    <cellStyle name="Percent 2 2 4 5 3" xfId="28460"/>
    <cellStyle name="Percent 2 2 4 5 3 2" xfId="28461"/>
    <cellStyle name="Percent 2 2 4 5 3 2 2" xfId="28462"/>
    <cellStyle name="Percent 2 2 4 5 3 2 2 2" xfId="28463"/>
    <cellStyle name="Percent 2 2 4 5 3 2 3" xfId="28464"/>
    <cellStyle name="Percent 2 2 4 5 3 3" xfId="28465"/>
    <cellStyle name="Percent 2 2 4 5 3 3 2" xfId="28466"/>
    <cellStyle name="Percent 2 2 4 5 3 4" xfId="28467"/>
    <cellStyle name="Percent 2 2 4 5 4" xfId="28468"/>
    <cellStyle name="Percent 2 2 4 5 4 2" xfId="28469"/>
    <cellStyle name="Percent 2 2 4 5 4 2 2" xfId="28470"/>
    <cellStyle name="Percent 2 2 4 5 4 3" xfId="28471"/>
    <cellStyle name="Percent 2 2 4 5 5" xfId="28472"/>
    <cellStyle name="Percent 2 2 4 5 5 2" xfId="28473"/>
    <cellStyle name="Percent 2 2 4 5 5 2 2" xfId="28474"/>
    <cellStyle name="Percent 2 2 4 5 5 3" xfId="28475"/>
    <cellStyle name="Percent 2 2 4 5 6" xfId="28476"/>
    <cellStyle name="Percent 2 2 4 5 6 2" xfId="28477"/>
    <cellStyle name="Percent 2 2 4 5 7" xfId="28478"/>
    <cellStyle name="Percent 2 2 4 5 7 2" xfId="37212"/>
    <cellStyle name="Percent 2 2 4 5 8" xfId="28479"/>
    <cellStyle name="Percent 2 2 4 6" xfId="28480"/>
    <cellStyle name="Percent 2 2 4 6 2" xfId="28481"/>
    <cellStyle name="Percent 2 2 4 6 2 2" xfId="28482"/>
    <cellStyle name="Percent 2 2 4 6 2 2 2" xfId="28483"/>
    <cellStyle name="Percent 2 2 4 6 2 2 3" xfId="28484"/>
    <cellStyle name="Percent 2 2 4 6 2 3" xfId="28485"/>
    <cellStyle name="Percent 2 2 4 6 2 3 2" xfId="28486"/>
    <cellStyle name="Percent 2 2 4 6 2 4" xfId="28487"/>
    <cellStyle name="Percent 2 2 4 6 3" xfId="28488"/>
    <cellStyle name="Percent 2 2 4 6 3 2" xfId="28489"/>
    <cellStyle name="Percent 2 2 4 6 3 2 2" xfId="28490"/>
    <cellStyle name="Percent 2 2 4 6 3 3" xfId="28491"/>
    <cellStyle name="Percent 2 2 4 6 4" xfId="28492"/>
    <cellStyle name="Percent 2 2 4 6 4 2" xfId="28493"/>
    <cellStyle name="Percent 2 2 4 6 4 3" xfId="28494"/>
    <cellStyle name="Percent 2 2 4 6 5" xfId="28495"/>
    <cellStyle name="Percent 2 2 4 6 5 2" xfId="28496"/>
    <cellStyle name="Percent 2 2 4 6 6" xfId="28497"/>
    <cellStyle name="Percent 2 2 4 6 6 2" xfId="37213"/>
    <cellStyle name="Percent 2 2 4 6 7" xfId="28498"/>
    <cellStyle name="Percent 2 2 4 7" xfId="28499"/>
    <cellStyle name="Percent 2 2 4 7 2" xfId="28500"/>
    <cellStyle name="Percent 2 2 4 7 2 2" xfId="28501"/>
    <cellStyle name="Percent 2 2 4 7 2 2 2" xfId="28502"/>
    <cellStyle name="Percent 2 2 4 7 2 3" xfId="28503"/>
    <cellStyle name="Percent 2 2 4 7 3" xfId="28504"/>
    <cellStyle name="Percent 2 2 4 7 3 2" xfId="28505"/>
    <cellStyle name="Percent 2 2 4 7 4" xfId="28506"/>
    <cellStyle name="Percent 2 2 4 8" xfId="28507"/>
    <cellStyle name="Percent 2 2 4 8 2" xfId="28508"/>
    <cellStyle name="Percent 2 2 4 8 2 2" xfId="28509"/>
    <cellStyle name="Percent 2 2 4 8 3" xfId="28510"/>
    <cellStyle name="Percent 2 2 4 9" xfId="28511"/>
    <cellStyle name="Percent 2 2 4 9 2" xfId="28512"/>
    <cellStyle name="Percent 2 2 4 9 2 2" xfId="28513"/>
    <cellStyle name="Percent 2 2 4 9 3" xfId="28514"/>
    <cellStyle name="Percent 2 2 5" xfId="28515"/>
    <cellStyle name="Percent 2 2 5 10" xfId="28516"/>
    <cellStyle name="Percent 2 2 5 10 2" xfId="28517"/>
    <cellStyle name="Percent 2 2 5 11" xfId="28518"/>
    <cellStyle name="Percent 2 2 5 11 2" xfId="37214"/>
    <cellStyle name="Percent 2 2 5 12" xfId="28519"/>
    <cellStyle name="Percent 2 2 5 2" xfId="28520"/>
    <cellStyle name="Percent 2 2 5 2 10" xfId="28521"/>
    <cellStyle name="Percent 2 2 5 2 2" xfId="28522"/>
    <cellStyle name="Percent 2 2 5 2 2 2" xfId="28523"/>
    <cellStyle name="Percent 2 2 5 2 2 2 2" xfId="28524"/>
    <cellStyle name="Percent 2 2 5 2 2 2 2 2" xfId="28525"/>
    <cellStyle name="Percent 2 2 5 2 2 2 2 2 2" xfId="28526"/>
    <cellStyle name="Percent 2 2 5 2 2 2 2 2 2 2" xfId="28527"/>
    <cellStyle name="Percent 2 2 5 2 2 2 2 2 2 3" xfId="28528"/>
    <cellStyle name="Percent 2 2 5 2 2 2 2 2 3" xfId="28529"/>
    <cellStyle name="Percent 2 2 5 2 2 2 2 2 3 2" xfId="28530"/>
    <cellStyle name="Percent 2 2 5 2 2 2 2 2 4" xfId="28531"/>
    <cellStyle name="Percent 2 2 5 2 2 2 2 3" xfId="28532"/>
    <cellStyle name="Percent 2 2 5 2 2 2 2 3 2" xfId="28533"/>
    <cellStyle name="Percent 2 2 5 2 2 2 2 3 2 2" xfId="28534"/>
    <cellStyle name="Percent 2 2 5 2 2 2 2 3 3" xfId="28535"/>
    <cellStyle name="Percent 2 2 5 2 2 2 2 4" xfId="28536"/>
    <cellStyle name="Percent 2 2 5 2 2 2 2 4 2" xfId="28537"/>
    <cellStyle name="Percent 2 2 5 2 2 2 2 4 3" xfId="28538"/>
    <cellStyle name="Percent 2 2 5 2 2 2 2 5" xfId="28539"/>
    <cellStyle name="Percent 2 2 5 2 2 2 2 5 2" xfId="28540"/>
    <cellStyle name="Percent 2 2 5 2 2 2 2 6" xfId="28541"/>
    <cellStyle name="Percent 2 2 5 2 2 2 2 6 2" xfId="37215"/>
    <cellStyle name="Percent 2 2 5 2 2 2 2 7" xfId="28542"/>
    <cellStyle name="Percent 2 2 5 2 2 2 3" xfId="28543"/>
    <cellStyle name="Percent 2 2 5 2 2 2 3 2" xfId="28544"/>
    <cellStyle name="Percent 2 2 5 2 2 2 3 2 2" xfId="28545"/>
    <cellStyle name="Percent 2 2 5 2 2 2 3 2 2 2" xfId="28546"/>
    <cellStyle name="Percent 2 2 5 2 2 2 3 2 3" xfId="28547"/>
    <cellStyle name="Percent 2 2 5 2 2 2 3 3" xfId="28548"/>
    <cellStyle name="Percent 2 2 5 2 2 2 3 3 2" xfId="28549"/>
    <cellStyle name="Percent 2 2 5 2 2 2 3 4" xfId="28550"/>
    <cellStyle name="Percent 2 2 5 2 2 2 4" xfId="28551"/>
    <cellStyle name="Percent 2 2 5 2 2 2 4 2" xfId="28552"/>
    <cellStyle name="Percent 2 2 5 2 2 2 4 2 2" xfId="28553"/>
    <cellStyle name="Percent 2 2 5 2 2 2 4 3" xfId="28554"/>
    <cellStyle name="Percent 2 2 5 2 2 2 5" xfId="28555"/>
    <cellStyle name="Percent 2 2 5 2 2 2 5 2" xfId="28556"/>
    <cellStyle name="Percent 2 2 5 2 2 2 5 2 2" xfId="28557"/>
    <cellStyle name="Percent 2 2 5 2 2 2 5 3" xfId="28558"/>
    <cellStyle name="Percent 2 2 5 2 2 2 6" xfId="28559"/>
    <cellStyle name="Percent 2 2 5 2 2 2 6 2" xfId="28560"/>
    <cellStyle name="Percent 2 2 5 2 2 2 7" xfId="28561"/>
    <cellStyle name="Percent 2 2 5 2 2 2 7 2" xfId="37216"/>
    <cellStyle name="Percent 2 2 5 2 2 2 8" xfId="28562"/>
    <cellStyle name="Percent 2 2 5 2 2 3" xfId="28563"/>
    <cellStyle name="Percent 2 2 5 2 2 3 2" xfId="28564"/>
    <cellStyle name="Percent 2 2 5 2 2 3 2 2" xfId="28565"/>
    <cellStyle name="Percent 2 2 5 2 2 3 2 2 2" xfId="28566"/>
    <cellStyle name="Percent 2 2 5 2 2 3 2 2 3" xfId="28567"/>
    <cellStyle name="Percent 2 2 5 2 2 3 2 3" xfId="28568"/>
    <cellStyle name="Percent 2 2 5 2 2 3 2 3 2" xfId="28569"/>
    <cellStyle name="Percent 2 2 5 2 2 3 2 4" xfId="28570"/>
    <cellStyle name="Percent 2 2 5 2 2 3 3" xfId="28571"/>
    <cellStyle name="Percent 2 2 5 2 2 3 3 2" xfId="28572"/>
    <cellStyle name="Percent 2 2 5 2 2 3 3 2 2" xfId="28573"/>
    <cellStyle name="Percent 2 2 5 2 2 3 3 3" xfId="28574"/>
    <cellStyle name="Percent 2 2 5 2 2 3 4" xfId="28575"/>
    <cellStyle name="Percent 2 2 5 2 2 3 4 2" xfId="28576"/>
    <cellStyle name="Percent 2 2 5 2 2 3 4 3" xfId="28577"/>
    <cellStyle name="Percent 2 2 5 2 2 3 5" xfId="28578"/>
    <cellStyle name="Percent 2 2 5 2 2 3 5 2" xfId="28579"/>
    <cellStyle name="Percent 2 2 5 2 2 3 6" xfId="28580"/>
    <cellStyle name="Percent 2 2 5 2 2 3 6 2" xfId="37217"/>
    <cellStyle name="Percent 2 2 5 2 2 3 7" xfId="28581"/>
    <cellStyle name="Percent 2 2 5 2 2 4" xfId="28582"/>
    <cellStyle name="Percent 2 2 5 2 2 4 2" xfId="28583"/>
    <cellStyle name="Percent 2 2 5 2 2 4 2 2" xfId="28584"/>
    <cellStyle name="Percent 2 2 5 2 2 4 2 2 2" xfId="28585"/>
    <cellStyle name="Percent 2 2 5 2 2 4 2 3" xfId="28586"/>
    <cellStyle name="Percent 2 2 5 2 2 4 3" xfId="28587"/>
    <cellStyle name="Percent 2 2 5 2 2 4 3 2" xfId="28588"/>
    <cellStyle name="Percent 2 2 5 2 2 4 4" xfId="28589"/>
    <cellStyle name="Percent 2 2 5 2 2 5" xfId="28590"/>
    <cellStyle name="Percent 2 2 5 2 2 5 2" xfId="28591"/>
    <cellStyle name="Percent 2 2 5 2 2 5 2 2" xfId="28592"/>
    <cellStyle name="Percent 2 2 5 2 2 5 3" xfId="28593"/>
    <cellStyle name="Percent 2 2 5 2 2 6" xfId="28594"/>
    <cellStyle name="Percent 2 2 5 2 2 6 2" xfId="28595"/>
    <cellStyle name="Percent 2 2 5 2 2 6 2 2" xfId="28596"/>
    <cellStyle name="Percent 2 2 5 2 2 6 3" xfId="28597"/>
    <cellStyle name="Percent 2 2 5 2 2 7" xfId="28598"/>
    <cellStyle name="Percent 2 2 5 2 2 7 2" xfId="28599"/>
    <cellStyle name="Percent 2 2 5 2 2 8" xfId="28600"/>
    <cellStyle name="Percent 2 2 5 2 2 8 2" xfId="37218"/>
    <cellStyle name="Percent 2 2 5 2 2 9" xfId="28601"/>
    <cellStyle name="Percent 2 2 5 2 3" xfId="28602"/>
    <cellStyle name="Percent 2 2 5 2 3 2" xfId="28603"/>
    <cellStyle name="Percent 2 2 5 2 3 2 2" xfId="28604"/>
    <cellStyle name="Percent 2 2 5 2 3 2 2 2" xfId="28605"/>
    <cellStyle name="Percent 2 2 5 2 3 2 2 2 2" xfId="28606"/>
    <cellStyle name="Percent 2 2 5 2 3 2 2 2 3" xfId="28607"/>
    <cellStyle name="Percent 2 2 5 2 3 2 2 3" xfId="28608"/>
    <cellStyle name="Percent 2 2 5 2 3 2 2 3 2" xfId="28609"/>
    <cellStyle name="Percent 2 2 5 2 3 2 2 4" xfId="28610"/>
    <cellStyle name="Percent 2 2 5 2 3 2 3" xfId="28611"/>
    <cellStyle name="Percent 2 2 5 2 3 2 3 2" xfId="28612"/>
    <cellStyle name="Percent 2 2 5 2 3 2 3 2 2" xfId="28613"/>
    <cellStyle name="Percent 2 2 5 2 3 2 3 3" xfId="28614"/>
    <cellStyle name="Percent 2 2 5 2 3 2 4" xfId="28615"/>
    <cellStyle name="Percent 2 2 5 2 3 2 4 2" xfId="28616"/>
    <cellStyle name="Percent 2 2 5 2 3 2 4 3" xfId="28617"/>
    <cellStyle name="Percent 2 2 5 2 3 2 5" xfId="28618"/>
    <cellStyle name="Percent 2 2 5 2 3 2 5 2" xfId="28619"/>
    <cellStyle name="Percent 2 2 5 2 3 2 6" xfId="28620"/>
    <cellStyle name="Percent 2 2 5 2 3 2 6 2" xfId="37219"/>
    <cellStyle name="Percent 2 2 5 2 3 2 7" xfId="28621"/>
    <cellStyle name="Percent 2 2 5 2 3 3" xfId="28622"/>
    <cellStyle name="Percent 2 2 5 2 3 3 2" xfId="28623"/>
    <cellStyle name="Percent 2 2 5 2 3 3 2 2" xfId="28624"/>
    <cellStyle name="Percent 2 2 5 2 3 3 2 2 2" xfId="28625"/>
    <cellStyle name="Percent 2 2 5 2 3 3 2 3" xfId="28626"/>
    <cellStyle name="Percent 2 2 5 2 3 3 3" xfId="28627"/>
    <cellStyle name="Percent 2 2 5 2 3 3 3 2" xfId="28628"/>
    <cellStyle name="Percent 2 2 5 2 3 3 4" xfId="28629"/>
    <cellStyle name="Percent 2 2 5 2 3 4" xfId="28630"/>
    <cellStyle name="Percent 2 2 5 2 3 4 2" xfId="28631"/>
    <cellStyle name="Percent 2 2 5 2 3 4 2 2" xfId="28632"/>
    <cellStyle name="Percent 2 2 5 2 3 4 3" xfId="28633"/>
    <cellStyle name="Percent 2 2 5 2 3 5" xfId="28634"/>
    <cellStyle name="Percent 2 2 5 2 3 5 2" xfId="28635"/>
    <cellStyle name="Percent 2 2 5 2 3 5 2 2" xfId="28636"/>
    <cellStyle name="Percent 2 2 5 2 3 5 3" xfId="28637"/>
    <cellStyle name="Percent 2 2 5 2 3 6" xfId="28638"/>
    <cellStyle name="Percent 2 2 5 2 3 6 2" xfId="28639"/>
    <cellStyle name="Percent 2 2 5 2 3 7" xfId="28640"/>
    <cellStyle name="Percent 2 2 5 2 3 7 2" xfId="37220"/>
    <cellStyle name="Percent 2 2 5 2 3 8" xfId="28641"/>
    <cellStyle name="Percent 2 2 5 2 4" xfId="28642"/>
    <cellStyle name="Percent 2 2 5 2 4 2" xfId="28643"/>
    <cellStyle name="Percent 2 2 5 2 4 2 2" xfId="28644"/>
    <cellStyle name="Percent 2 2 5 2 4 2 2 2" xfId="28645"/>
    <cellStyle name="Percent 2 2 5 2 4 2 2 3" xfId="28646"/>
    <cellStyle name="Percent 2 2 5 2 4 2 3" xfId="28647"/>
    <cellStyle name="Percent 2 2 5 2 4 2 3 2" xfId="28648"/>
    <cellStyle name="Percent 2 2 5 2 4 2 4" xfId="28649"/>
    <cellStyle name="Percent 2 2 5 2 4 3" xfId="28650"/>
    <cellStyle name="Percent 2 2 5 2 4 3 2" xfId="28651"/>
    <cellStyle name="Percent 2 2 5 2 4 3 2 2" xfId="28652"/>
    <cellStyle name="Percent 2 2 5 2 4 3 3" xfId="28653"/>
    <cellStyle name="Percent 2 2 5 2 4 4" xfId="28654"/>
    <cellStyle name="Percent 2 2 5 2 4 4 2" xfId="28655"/>
    <cellStyle name="Percent 2 2 5 2 4 4 3" xfId="28656"/>
    <cellStyle name="Percent 2 2 5 2 4 5" xfId="28657"/>
    <cellStyle name="Percent 2 2 5 2 4 5 2" xfId="28658"/>
    <cellStyle name="Percent 2 2 5 2 4 6" xfId="28659"/>
    <cellStyle name="Percent 2 2 5 2 4 6 2" xfId="37221"/>
    <cellStyle name="Percent 2 2 5 2 4 7" xfId="28660"/>
    <cellStyle name="Percent 2 2 5 2 5" xfId="28661"/>
    <cellStyle name="Percent 2 2 5 2 5 2" xfId="28662"/>
    <cellStyle name="Percent 2 2 5 2 5 2 2" xfId="28663"/>
    <cellStyle name="Percent 2 2 5 2 5 2 2 2" xfId="28664"/>
    <cellStyle name="Percent 2 2 5 2 5 2 3" xfId="28665"/>
    <cellStyle name="Percent 2 2 5 2 5 3" xfId="28666"/>
    <cellStyle name="Percent 2 2 5 2 5 3 2" xfId="28667"/>
    <cellStyle name="Percent 2 2 5 2 5 4" xfId="28668"/>
    <cellStyle name="Percent 2 2 5 2 6" xfId="28669"/>
    <cellStyle name="Percent 2 2 5 2 6 2" xfId="28670"/>
    <cellStyle name="Percent 2 2 5 2 6 2 2" xfId="28671"/>
    <cellStyle name="Percent 2 2 5 2 6 3" xfId="28672"/>
    <cellStyle name="Percent 2 2 5 2 7" xfId="28673"/>
    <cellStyle name="Percent 2 2 5 2 7 2" xfId="28674"/>
    <cellStyle name="Percent 2 2 5 2 7 2 2" xfId="28675"/>
    <cellStyle name="Percent 2 2 5 2 7 3" xfId="28676"/>
    <cellStyle name="Percent 2 2 5 2 8" xfId="28677"/>
    <cellStyle name="Percent 2 2 5 2 8 2" xfId="28678"/>
    <cellStyle name="Percent 2 2 5 2 9" xfId="28679"/>
    <cellStyle name="Percent 2 2 5 2 9 2" xfId="37222"/>
    <cellStyle name="Percent 2 2 5 3" xfId="28680"/>
    <cellStyle name="Percent 2 2 5 3 2" xfId="28681"/>
    <cellStyle name="Percent 2 2 5 3 2 2" xfId="28682"/>
    <cellStyle name="Percent 2 2 5 3 2 2 2" xfId="28683"/>
    <cellStyle name="Percent 2 2 5 3 2 2 2 2" xfId="28684"/>
    <cellStyle name="Percent 2 2 5 3 2 2 2 2 2" xfId="28685"/>
    <cellStyle name="Percent 2 2 5 3 2 2 2 2 3" xfId="28686"/>
    <cellStyle name="Percent 2 2 5 3 2 2 2 3" xfId="28687"/>
    <cellStyle name="Percent 2 2 5 3 2 2 2 3 2" xfId="28688"/>
    <cellStyle name="Percent 2 2 5 3 2 2 2 4" xfId="28689"/>
    <cellStyle name="Percent 2 2 5 3 2 2 3" xfId="28690"/>
    <cellStyle name="Percent 2 2 5 3 2 2 3 2" xfId="28691"/>
    <cellStyle name="Percent 2 2 5 3 2 2 3 2 2" xfId="28692"/>
    <cellStyle name="Percent 2 2 5 3 2 2 3 3" xfId="28693"/>
    <cellStyle name="Percent 2 2 5 3 2 2 4" xfId="28694"/>
    <cellStyle name="Percent 2 2 5 3 2 2 4 2" xfId="28695"/>
    <cellStyle name="Percent 2 2 5 3 2 2 4 3" xfId="28696"/>
    <cellStyle name="Percent 2 2 5 3 2 2 5" xfId="28697"/>
    <cellStyle name="Percent 2 2 5 3 2 2 5 2" xfId="28698"/>
    <cellStyle name="Percent 2 2 5 3 2 2 6" xfId="28699"/>
    <cellStyle name="Percent 2 2 5 3 2 2 6 2" xfId="37223"/>
    <cellStyle name="Percent 2 2 5 3 2 2 7" xfId="28700"/>
    <cellStyle name="Percent 2 2 5 3 2 3" xfId="28701"/>
    <cellStyle name="Percent 2 2 5 3 2 3 2" xfId="28702"/>
    <cellStyle name="Percent 2 2 5 3 2 3 2 2" xfId="28703"/>
    <cellStyle name="Percent 2 2 5 3 2 3 2 2 2" xfId="28704"/>
    <cellStyle name="Percent 2 2 5 3 2 3 2 3" xfId="28705"/>
    <cellStyle name="Percent 2 2 5 3 2 3 3" xfId="28706"/>
    <cellStyle name="Percent 2 2 5 3 2 3 3 2" xfId="28707"/>
    <cellStyle name="Percent 2 2 5 3 2 3 4" xfId="28708"/>
    <cellStyle name="Percent 2 2 5 3 2 4" xfId="28709"/>
    <cellStyle name="Percent 2 2 5 3 2 4 2" xfId="28710"/>
    <cellStyle name="Percent 2 2 5 3 2 4 2 2" xfId="28711"/>
    <cellStyle name="Percent 2 2 5 3 2 4 3" xfId="28712"/>
    <cellStyle name="Percent 2 2 5 3 2 5" xfId="28713"/>
    <cellStyle name="Percent 2 2 5 3 2 5 2" xfId="28714"/>
    <cellStyle name="Percent 2 2 5 3 2 5 2 2" xfId="28715"/>
    <cellStyle name="Percent 2 2 5 3 2 5 3" xfId="28716"/>
    <cellStyle name="Percent 2 2 5 3 2 6" xfId="28717"/>
    <cellStyle name="Percent 2 2 5 3 2 6 2" xfId="28718"/>
    <cellStyle name="Percent 2 2 5 3 2 7" xfId="28719"/>
    <cellStyle name="Percent 2 2 5 3 2 7 2" xfId="37224"/>
    <cellStyle name="Percent 2 2 5 3 2 8" xfId="28720"/>
    <cellStyle name="Percent 2 2 5 3 3" xfId="28721"/>
    <cellStyle name="Percent 2 2 5 3 3 2" xfId="28722"/>
    <cellStyle name="Percent 2 2 5 3 3 2 2" xfId="28723"/>
    <cellStyle name="Percent 2 2 5 3 3 2 2 2" xfId="28724"/>
    <cellStyle name="Percent 2 2 5 3 3 2 2 3" xfId="28725"/>
    <cellStyle name="Percent 2 2 5 3 3 2 3" xfId="28726"/>
    <cellStyle name="Percent 2 2 5 3 3 2 3 2" xfId="28727"/>
    <cellStyle name="Percent 2 2 5 3 3 2 4" xfId="28728"/>
    <cellStyle name="Percent 2 2 5 3 3 3" xfId="28729"/>
    <cellStyle name="Percent 2 2 5 3 3 3 2" xfId="28730"/>
    <cellStyle name="Percent 2 2 5 3 3 3 2 2" xfId="28731"/>
    <cellStyle name="Percent 2 2 5 3 3 3 3" xfId="28732"/>
    <cellStyle name="Percent 2 2 5 3 3 4" xfId="28733"/>
    <cellStyle name="Percent 2 2 5 3 3 4 2" xfId="28734"/>
    <cellStyle name="Percent 2 2 5 3 3 4 3" xfId="28735"/>
    <cellStyle name="Percent 2 2 5 3 3 5" xfId="28736"/>
    <cellStyle name="Percent 2 2 5 3 3 5 2" xfId="28737"/>
    <cellStyle name="Percent 2 2 5 3 3 6" xfId="28738"/>
    <cellStyle name="Percent 2 2 5 3 3 6 2" xfId="37225"/>
    <cellStyle name="Percent 2 2 5 3 3 7" xfId="28739"/>
    <cellStyle name="Percent 2 2 5 3 4" xfId="28740"/>
    <cellStyle name="Percent 2 2 5 3 4 2" xfId="28741"/>
    <cellStyle name="Percent 2 2 5 3 4 2 2" xfId="28742"/>
    <cellStyle name="Percent 2 2 5 3 4 2 2 2" xfId="28743"/>
    <cellStyle name="Percent 2 2 5 3 4 2 3" xfId="28744"/>
    <cellStyle name="Percent 2 2 5 3 4 3" xfId="28745"/>
    <cellStyle name="Percent 2 2 5 3 4 3 2" xfId="28746"/>
    <cellStyle name="Percent 2 2 5 3 4 4" xfId="28747"/>
    <cellStyle name="Percent 2 2 5 3 5" xfId="28748"/>
    <cellStyle name="Percent 2 2 5 3 5 2" xfId="28749"/>
    <cellStyle name="Percent 2 2 5 3 5 2 2" xfId="28750"/>
    <cellStyle name="Percent 2 2 5 3 5 3" xfId="28751"/>
    <cellStyle name="Percent 2 2 5 3 6" xfId="28752"/>
    <cellStyle name="Percent 2 2 5 3 6 2" xfId="28753"/>
    <cellStyle name="Percent 2 2 5 3 6 2 2" xfId="28754"/>
    <cellStyle name="Percent 2 2 5 3 6 3" xfId="28755"/>
    <cellStyle name="Percent 2 2 5 3 7" xfId="28756"/>
    <cellStyle name="Percent 2 2 5 3 7 2" xfId="28757"/>
    <cellStyle name="Percent 2 2 5 3 8" xfId="28758"/>
    <cellStyle name="Percent 2 2 5 3 8 2" xfId="37226"/>
    <cellStyle name="Percent 2 2 5 3 9" xfId="28759"/>
    <cellStyle name="Percent 2 2 5 4" xfId="28760"/>
    <cellStyle name="Percent 2 2 5 4 2" xfId="28761"/>
    <cellStyle name="Percent 2 2 5 4 2 2" xfId="28762"/>
    <cellStyle name="Percent 2 2 5 4 2 2 2" xfId="28763"/>
    <cellStyle name="Percent 2 2 5 4 2 2 2 2" xfId="28764"/>
    <cellStyle name="Percent 2 2 5 4 2 2 2 3" xfId="28765"/>
    <cellStyle name="Percent 2 2 5 4 2 2 3" xfId="28766"/>
    <cellStyle name="Percent 2 2 5 4 2 2 3 2" xfId="28767"/>
    <cellStyle name="Percent 2 2 5 4 2 2 4" xfId="28768"/>
    <cellStyle name="Percent 2 2 5 4 2 3" xfId="28769"/>
    <cellStyle name="Percent 2 2 5 4 2 3 2" xfId="28770"/>
    <cellStyle name="Percent 2 2 5 4 2 3 2 2" xfId="28771"/>
    <cellStyle name="Percent 2 2 5 4 2 3 3" xfId="28772"/>
    <cellStyle name="Percent 2 2 5 4 2 4" xfId="28773"/>
    <cellStyle name="Percent 2 2 5 4 2 4 2" xfId="28774"/>
    <cellStyle name="Percent 2 2 5 4 2 4 3" xfId="28775"/>
    <cellStyle name="Percent 2 2 5 4 2 5" xfId="28776"/>
    <cellStyle name="Percent 2 2 5 4 2 5 2" xfId="28777"/>
    <cellStyle name="Percent 2 2 5 4 2 6" xfId="28778"/>
    <cellStyle name="Percent 2 2 5 4 2 6 2" xfId="37227"/>
    <cellStyle name="Percent 2 2 5 4 2 7" xfId="28779"/>
    <cellStyle name="Percent 2 2 5 4 3" xfId="28780"/>
    <cellStyle name="Percent 2 2 5 4 3 2" xfId="28781"/>
    <cellStyle name="Percent 2 2 5 4 3 2 2" xfId="28782"/>
    <cellStyle name="Percent 2 2 5 4 3 2 2 2" xfId="28783"/>
    <cellStyle name="Percent 2 2 5 4 3 2 3" xfId="28784"/>
    <cellStyle name="Percent 2 2 5 4 3 3" xfId="28785"/>
    <cellStyle name="Percent 2 2 5 4 3 3 2" xfId="28786"/>
    <cellStyle name="Percent 2 2 5 4 3 4" xfId="28787"/>
    <cellStyle name="Percent 2 2 5 4 4" xfId="28788"/>
    <cellStyle name="Percent 2 2 5 4 4 2" xfId="28789"/>
    <cellStyle name="Percent 2 2 5 4 4 2 2" xfId="28790"/>
    <cellStyle name="Percent 2 2 5 4 4 3" xfId="28791"/>
    <cellStyle name="Percent 2 2 5 4 5" xfId="28792"/>
    <cellStyle name="Percent 2 2 5 4 5 2" xfId="28793"/>
    <cellStyle name="Percent 2 2 5 4 5 2 2" xfId="28794"/>
    <cellStyle name="Percent 2 2 5 4 5 3" xfId="28795"/>
    <cellStyle name="Percent 2 2 5 4 6" xfId="28796"/>
    <cellStyle name="Percent 2 2 5 4 6 2" xfId="28797"/>
    <cellStyle name="Percent 2 2 5 4 7" xfId="28798"/>
    <cellStyle name="Percent 2 2 5 4 7 2" xfId="37228"/>
    <cellStyle name="Percent 2 2 5 4 8" xfId="28799"/>
    <cellStyle name="Percent 2 2 5 5" xfId="28800"/>
    <cellStyle name="Percent 2 2 5 5 2" xfId="28801"/>
    <cellStyle name="Percent 2 2 5 5 2 2" xfId="28802"/>
    <cellStyle name="Percent 2 2 5 5 2 2 2" xfId="28803"/>
    <cellStyle name="Percent 2 2 5 5 2 2 2 2" xfId="28804"/>
    <cellStyle name="Percent 2 2 5 5 2 2 2 3" xfId="28805"/>
    <cellStyle name="Percent 2 2 5 5 2 2 3" xfId="28806"/>
    <cellStyle name="Percent 2 2 5 5 2 2 3 2" xfId="28807"/>
    <cellStyle name="Percent 2 2 5 5 2 2 4" xfId="28808"/>
    <cellStyle name="Percent 2 2 5 5 2 3" xfId="28809"/>
    <cellStyle name="Percent 2 2 5 5 2 3 2" xfId="28810"/>
    <cellStyle name="Percent 2 2 5 5 2 3 2 2" xfId="28811"/>
    <cellStyle name="Percent 2 2 5 5 2 3 3" xfId="28812"/>
    <cellStyle name="Percent 2 2 5 5 2 4" xfId="28813"/>
    <cellStyle name="Percent 2 2 5 5 2 4 2" xfId="28814"/>
    <cellStyle name="Percent 2 2 5 5 2 4 3" xfId="28815"/>
    <cellStyle name="Percent 2 2 5 5 2 5" xfId="28816"/>
    <cellStyle name="Percent 2 2 5 5 2 5 2" xfId="28817"/>
    <cellStyle name="Percent 2 2 5 5 2 6" xfId="28818"/>
    <cellStyle name="Percent 2 2 5 5 2 6 2" xfId="37229"/>
    <cellStyle name="Percent 2 2 5 5 2 7" xfId="28819"/>
    <cellStyle name="Percent 2 2 5 5 3" xfId="28820"/>
    <cellStyle name="Percent 2 2 5 5 3 2" xfId="28821"/>
    <cellStyle name="Percent 2 2 5 5 3 2 2" xfId="28822"/>
    <cellStyle name="Percent 2 2 5 5 3 2 2 2" xfId="28823"/>
    <cellStyle name="Percent 2 2 5 5 3 2 3" xfId="28824"/>
    <cellStyle name="Percent 2 2 5 5 3 3" xfId="28825"/>
    <cellStyle name="Percent 2 2 5 5 3 3 2" xfId="28826"/>
    <cellStyle name="Percent 2 2 5 5 3 4" xfId="28827"/>
    <cellStyle name="Percent 2 2 5 5 4" xfId="28828"/>
    <cellStyle name="Percent 2 2 5 5 4 2" xfId="28829"/>
    <cellStyle name="Percent 2 2 5 5 4 2 2" xfId="28830"/>
    <cellStyle name="Percent 2 2 5 5 4 3" xfId="28831"/>
    <cellStyle name="Percent 2 2 5 5 5" xfId="28832"/>
    <cellStyle name="Percent 2 2 5 5 5 2" xfId="28833"/>
    <cellStyle name="Percent 2 2 5 5 5 2 2" xfId="28834"/>
    <cellStyle name="Percent 2 2 5 5 5 3" xfId="28835"/>
    <cellStyle name="Percent 2 2 5 5 6" xfId="28836"/>
    <cellStyle name="Percent 2 2 5 5 6 2" xfId="28837"/>
    <cellStyle name="Percent 2 2 5 5 7" xfId="28838"/>
    <cellStyle name="Percent 2 2 5 5 7 2" xfId="37230"/>
    <cellStyle name="Percent 2 2 5 5 8" xfId="28839"/>
    <cellStyle name="Percent 2 2 5 6" xfId="28840"/>
    <cellStyle name="Percent 2 2 5 6 2" xfId="28841"/>
    <cellStyle name="Percent 2 2 5 6 2 2" xfId="28842"/>
    <cellStyle name="Percent 2 2 5 6 2 2 2" xfId="28843"/>
    <cellStyle name="Percent 2 2 5 6 2 2 3" xfId="28844"/>
    <cellStyle name="Percent 2 2 5 6 2 3" xfId="28845"/>
    <cellStyle name="Percent 2 2 5 6 2 3 2" xfId="28846"/>
    <cellStyle name="Percent 2 2 5 6 2 4" xfId="28847"/>
    <cellStyle name="Percent 2 2 5 6 3" xfId="28848"/>
    <cellStyle name="Percent 2 2 5 6 3 2" xfId="28849"/>
    <cellStyle name="Percent 2 2 5 6 3 2 2" xfId="28850"/>
    <cellStyle name="Percent 2 2 5 6 3 3" xfId="28851"/>
    <cellStyle name="Percent 2 2 5 6 4" xfId="28852"/>
    <cellStyle name="Percent 2 2 5 6 4 2" xfId="28853"/>
    <cellStyle name="Percent 2 2 5 6 4 3" xfId="28854"/>
    <cellStyle name="Percent 2 2 5 6 5" xfId="28855"/>
    <cellStyle name="Percent 2 2 5 6 5 2" xfId="28856"/>
    <cellStyle name="Percent 2 2 5 6 6" xfId="28857"/>
    <cellStyle name="Percent 2 2 5 6 6 2" xfId="37231"/>
    <cellStyle name="Percent 2 2 5 6 7" xfId="28858"/>
    <cellStyle name="Percent 2 2 5 7" xfId="28859"/>
    <cellStyle name="Percent 2 2 5 7 2" xfId="28860"/>
    <cellStyle name="Percent 2 2 5 7 2 2" xfId="28861"/>
    <cellStyle name="Percent 2 2 5 7 2 2 2" xfId="28862"/>
    <cellStyle name="Percent 2 2 5 7 2 3" xfId="28863"/>
    <cellStyle name="Percent 2 2 5 7 3" xfId="28864"/>
    <cellStyle name="Percent 2 2 5 7 3 2" xfId="28865"/>
    <cellStyle name="Percent 2 2 5 7 4" xfId="28866"/>
    <cellStyle name="Percent 2 2 5 8" xfId="28867"/>
    <cellStyle name="Percent 2 2 5 8 2" xfId="28868"/>
    <cellStyle name="Percent 2 2 5 8 2 2" xfId="28869"/>
    <cellStyle name="Percent 2 2 5 8 3" xfId="28870"/>
    <cellStyle name="Percent 2 2 5 9" xfId="28871"/>
    <cellStyle name="Percent 2 2 5 9 2" xfId="28872"/>
    <cellStyle name="Percent 2 2 5 9 2 2" xfId="28873"/>
    <cellStyle name="Percent 2 2 5 9 3" xfId="28874"/>
    <cellStyle name="Percent 2 2 6" xfId="28875"/>
    <cellStyle name="Percent 2 2 6 10" xfId="28876"/>
    <cellStyle name="Percent 2 2 6 2" xfId="28877"/>
    <cellStyle name="Percent 2 2 6 2 2" xfId="28878"/>
    <cellStyle name="Percent 2 2 6 2 2 2" xfId="28879"/>
    <cellStyle name="Percent 2 2 6 2 2 2 2" xfId="28880"/>
    <cellStyle name="Percent 2 2 6 2 2 2 2 2" xfId="28881"/>
    <cellStyle name="Percent 2 2 6 2 2 2 2 2 2" xfId="28882"/>
    <cellStyle name="Percent 2 2 6 2 2 2 2 2 3" xfId="28883"/>
    <cellStyle name="Percent 2 2 6 2 2 2 2 3" xfId="28884"/>
    <cellStyle name="Percent 2 2 6 2 2 2 2 3 2" xfId="28885"/>
    <cellStyle name="Percent 2 2 6 2 2 2 2 4" xfId="28886"/>
    <cellStyle name="Percent 2 2 6 2 2 2 3" xfId="28887"/>
    <cellStyle name="Percent 2 2 6 2 2 2 3 2" xfId="28888"/>
    <cellStyle name="Percent 2 2 6 2 2 2 3 2 2" xfId="28889"/>
    <cellStyle name="Percent 2 2 6 2 2 2 3 3" xfId="28890"/>
    <cellStyle name="Percent 2 2 6 2 2 2 4" xfId="28891"/>
    <cellStyle name="Percent 2 2 6 2 2 2 4 2" xfId="28892"/>
    <cellStyle name="Percent 2 2 6 2 2 2 4 3" xfId="28893"/>
    <cellStyle name="Percent 2 2 6 2 2 2 5" xfId="28894"/>
    <cellStyle name="Percent 2 2 6 2 2 2 5 2" xfId="28895"/>
    <cellStyle name="Percent 2 2 6 2 2 2 6" xfId="28896"/>
    <cellStyle name="Percent 2 2 6 2 2 2 6 2" xfId="37232"/>
    <cellStyle name="Percent 2 2 6 2 2 2 7" xfId="28897"/>
    <cellStyle name="Percent 2 2 6 2 2 3" xfId="28898"/>
    <cellStyle name="Percent 2 2 6 2 2 3 2" xfId="28899"/>
    <cellStyle name="Percent 2 2 6 2 2 3 2 2" xfId="28900"/>
    <cellStyle name="Percent 2 2 6 2 2 3 2 2 2" xfId="28901"/>
    <cellStyle name="Percent 2 2 6 2 2 3 2 3" xfId="28902"/>
    <cellStyle name="Percent 2 2 6 2 2 3 3" xfId="28903"/>
    <cellStyle name="Percent 2 2 6 2 2 3 3 2" xfId="28904"/>
    <cellStyle name="Percent 2 2 6 2 2 3 4" xfId="28905"/>
    <cellStyle name="Percent 2 2 6 2 2 4" xfId="28906"/>
    <cellStyle name="Percent 2 2 6 2 2 4 2" xfId="28907"/>
    <cellStyle name="Percent 2 2 6 2 2 4 2 2" xfId="28908"/>
    <cellStyle name="Percent 2 2 6 2 2 4 3" xfId="28909"/>
    <cellStyle name="Percent 2 2 6 2 2 5" xfId="28910"/>
    <cellStyle name="Percent 2 2 6 2 2 5 2" xfId="28911"/>
    <cellStyle name="Percent 2 2 6 2 2 5 2 2" xfId="28912"/>
    <cellStyle name="Percent 2 2 6 2 2 5 3" xfId="28913"/>
    <cellStyle name="Percent 2 2 6 2 2 6" xfId="28914"/>
    <cellStyle name="Percent 2 2 6 2 2 6 2" xfId="28915"/>
    <cellStyle name="Percent 2 2 6 2 2 7" xfId="28916"/>
    <cellStyle name="Percent 2 2 6 2 2 7 2" xfId="37233"/>
    <cellStyle name="Percent 2 2 6 2 2 8" xfId="28917"/>
    <cellStyle name="Percent 2 2 6 2 3" xfId="28918"/>
    <cellStyle name="Percent 2 2 6 2 3 2" xfId="28919"/>
    <cellStyle name="Percent 2 2 6 2 3 2 2" xfId="28920"/>
    <cellStyle name="Percent 2 2 6 2 3 2 2 2" xfId="28921"/>
    <cellStyle name="Percent 2 2 6 2 3 2 2 3" xfId="28922"/>
    <cellStyle name="Percent 2 2 6 2 3 2 3" xfId="28923"/>
    <cellStyle name="Percent 2 2 6 2 3 2 3 2" xfId="28924"/>
    <cellStyle name="Percent 2 2 6 2 3 2 4" xfId="28925"/>
    <cellStyle name="Percent 2 2 6 2 3 3" xfId="28926"/>
    <cellStyle name="Percent 2 2 6 2 3 3 2" xfId="28927"/>
    <cellStyle name="Percent 2 2 6 2 3 3 2 2" xfId="28928"/>
    <cellStyle name="Percent 2 2 6 2 3 3 3" xfId="28929"/>
    <cellStyle name="Percent 2 2 6 2 3 4" xfId="28930"/>
    <cellStyle name="Percent 2 2 6 2 3 4 2" xfId="28931"/>
    <cellStyle name="Percent 2 2 6 2 3 4 3" xfId="28932"/>
    <cellStyle name="Percent 2 2 6 2 3 5" xfId="28933"/>
    <cellStyle name="Percent 2 2 6 2 3 5 2" xfId="28934"/>
    <cellStyle name="Percent 2 2 6 2 3 6" xfId="28935"/>
    <cellStyle name="Percent 2 2 6 2 3 6 2" xfId="37234"/>
    <cellStyle name="Percent 2 2 6 2 3 7" xfId="28936"/>
    <cellStyle name="Percent 2 2 6 2 4" xfId="28937"/>
    <cellStyle name="Percent 2 2 6 2 4 2" xfId="28938"/>
    <cellStyle name="Percent 2 2 6 2 4 2 2" xfId="28939"/>
    <cellStyle name="Percent 2 2 6 2 4 2 2 2" xfId="28940"/>
    <cellStyle name="Percent 2 2 6 2 4 2 3" xfId="28941"/>
    <cellStyle name="Percent 2 2 6 2 4 3" xfId="28942"/>
    <cellStyle name="Percent 2 2 6 2 4 3 2" xfId="28943"/>
    <cellStyle name="Percent 2 2 6 2 4 4" xfId="28944"/>
    <cellStyle name="Percent 2 2 6 2 5" xfId="28945"/>
    <cellStyle name="Percent 2 2 6 2 5 2" xfId="28946"/>
    <cellStyle name="Percent 2 2 6 2 5 2 2" xfId="28947"/>
    <cellStyle name="Percent 2 2 6 2 5 3" xfId="28948"/>
    <cellStyle name="Percent 2 2 6 2 6" xfId="28949"/>
    <cellStyle name="Percent 2 2 6 2 6 2" xfId="28950"/>
    <cellStyle name="Percent 2 2 6 2 6 2 2" xfId="28951"/>
    <cellStyle name="Percent 2 2 6 2 6 3" xfId="28952"/>
    <cellStyle name="Percent 2 2 6 2 7" xfId="28953"/>
    <cellStyle name="Percent 2 2 6 2 7 2" xfId="28954"/>
    <cellStyle name="Percent 2 2 6 2 8" xfId="28955"/>
    <cellStyle name="Percent 2 2 6 2 8 2" xfId="37235"/>
    <cellStyle name="Percent 2 2 6 2 9" xfId="28956"/>
    <cellStyle name="Percent 2 2 6 3" xfId="28957"/>
    <cellStyle name="Percent 2 2 6 3 2" xfId="28958"/>
    <cellStyle name="Percent 2 2 6 3 2 2" xfId="28959"/>
    <cellStyle name="Percent 2 2 6 3 2 2 2" xfId="28960"/>
    <cellStyle name="Percent 2 2 6 3 2 2 2 2" xfId="28961"/>
    <cellStyle name="Percent 2 2 6 3 2 2 2 3" xfId="28962"/>
    <cellStyle name="Percent 2 2 6 3 2 2 3" xfId="28963"/>
    <cellStyle name="Percent 2 2 6 3 2 2 3 2" xfId="28964"/>
    <cellStyle name="Percent 2 2 6 3 2 2 4" xfId="28965"/>
    <cellStyle name="Percent 2 2 6 3 2 3" xfId="28966"/>
    <cellStyle name="Percent 2 2 6 3 2 3 2" xfId="28967"/>
    <cellStyle name="Percent 2 2 6 3 2 3 2 2" xfId="28968"/>
    <cellStyle name="Percent 2 2 6 3 2 3 3" xfId="28969"/>
    <cellStyle name="Percent 2 2 6 3 2 4" xfId="28970"/>
    <cellStyle name="Percent 2 2 6 3 2 4 2" xfId="28971"/>
    <cellStyle name="Percent 2 2 6 3 2 4 3" xfId="28972"/>
    <cellStyle name="Percent 2 2 6 3 2 5" xfId="28973"/>
    <cellStyle name="Percent 2 2 6 3 2 5 2" xfId="28974"/>
    <cellStyle name="Percent 2 2 6 3 2 6" xfId="28975"/>
    <cellStyle name="Percent 2 2 6 3 2 6 2" xfId="37236"/>
    <cellStyle name="Percent 2 2 6 3 2 7" xfId="28976"/>
    <cellStyle name="Percent 2 2 6 3 3" xfId="28977"/>
    <cellStyle name="Percent 2 2 6 3 3 2" xfId="28978"/>
    <cellStyle name="Percent 2 2 6 3 3 2 2" xfId="28979"/>
    <cellStyle name="Percent 2 2 6 3 3 2 2 2" xfId="28980"/>
    <cellStyle name="Percent 2 2 6 3 3 2 3" xfId="28981"/>
    <cellStyle name="Percent 2 2 6 3 3 3" xfId="28982"/>
    <cellStyle name="Percent 2 2 6 3 3 3 2" xfId="28983"/>
    <cellStyle name="Percent 2 2 6 3 3 4" xfId="28984"/>
    <cellStyle name="Percent 2 2 6 3 4" xfId="28985"/>
    <cellStyle name="Percent 2 2 6 3 4 2" xfId="28986"/>
    <cellStyle name="Percent 2 2 6 3 4 2 2" xfId="28987"/>
    <cellStyle name="Percent 2 2 6 3 4 3" xfId="28988"/>
    <cellStyle name="Percent 2 2 6 3 5" xfId="28989"/>
    <cellStyle name="Percent 2 2 6 3 5 2" xfId="28990"/>
    <cellStyle name="Percent 2 2 6 3 5 2 2" xfId="28991"/>
    <cellStyle name="Percent 2 2 6 3 5 3" xfId="28992"/>
    <cellStyle name="Percent 2 2 6 3 6" xfId="28993"/>
    <cellStyle name="Percent 2 2 6 3 6 2" xfId="28994"/>
    <cellStyle name="Percent 2 2 6 3 7" xfId="28995"/>
    <cellStyle name="Percent 2 2 6 3 7 2" xfId="37237"/>
    <cellStyle name="Percent 2 2 6 3 8" xfId="28996"/>
    <cellStyle name="Percent 2 2 6 4" xfId="28997"/>
    <cellStyle name="Percent 2 2 6 4 2" xfId="28998"/>
    <cellStyle name="Percent 2 2 6 4 2 2" xfId="28999"/>
    <cellStyle name="Percent 2 2 6 4 2 2 2" xfId="29000"/>
    <cellStyle name="Percent 2 2 6 4 2 2 3" xfId="29001"/>
    <cellStyle name="Percent 2 2 6 4 2 3" xfId="29002"/>
    <cellStyle name="Percent 2 2 6 4 2 3 2" xfId="29003"/>
    <cellStyle name="Percent 2 2 6 4 2 4" xfId="29004"/>
    <cellStyle name="Percent 2 2 6 4 3" xfId="29005"/>
    <cellStyle name="Percent 2 2 6 4 3 2" xfId="29006"/>
    <cellStyle name="Percent 2 2 6 4 3 2 2" xfId="29007"/>
    <cellStyle name="Percent 2 2 6 4 3 3" xfId="29008"/>
    <cellStyle name="Percent 2 2 6 4 4" xfId="29009"/>
    <cellStyle name="Percent 2 2 6 4 4 2" xfId="29010"/>
    <cellStyle name="Percent 2 2 6 4 4 3" xfId="29011"/>
    <cellStyle name="Percent 2 2 6 4 5" xfId="29012"/>
    <cellStyle name="Percent 2 2 6 4 5 2" xfId="29013"/>
    <cellStyle name="Percent 2 2 6 4 6" xfId="29014"/>
    <cellStyle name="Percent 2 2 6 4 6 2" xfId="37238"/>
    <cellStyle name="Percent 2 2 6 4 7" xfId="29015"/>
    <cellStyle name="Percent 2 2 6 5" xfId="29016"/>
    <cellStyle name="Percent 2 2 6 5 2" xfId="29017"/>
    <cellStyle name="Percent 2 2 6 5 2 2" xfId="29018"/>
    <cellStyle name="Percent 2 2 6 5 2 2 2" xfId="29019"/>
    <cellStyle name="Percent 2 2 6 5 2 3" xfId="29020"/>
    <cellStyle name="Percent 2 2 6 5 3" xfId="29021"/>
    <cellStyle name="Percent 2 2 6 5 3 2" xfId="29022"/>
    <cellStyle name="Percent 2 2 6 5 4" xfId="29023"/>
    <cellStyle name="Percent 2 2 6 6" xfId="29024"/>
    <cellStyle name="Percent 2 2 6 6 2" xfId="29025"/>
    <cellStyle name="Percent 2 2 6 6 2 2" xfId="29026"/>
    <cellStyle name="Percent 2 2 6 6 3" xfId="29027"/>
    <cellStyle name="Percent 2 2 6 7" xfId="29028"/>
    <cellStyle name="Percent 2 2 6 7 2" xfId="29029"/>
    <cellStyle name="Percent 2 2 6 7 2 2" xfId="29030"/>
    <cellStyle name="Percent 2 2 6 7 3" xfId="29031"/>
    <cellStyle name="Percent 2 2 6 8" xfId="29032"/>
    <cellStyle name="Percent 2 2 6 8 2" xfId="29033"/>
    <cellStyle name="Percent 2 2 6 9" xfId="29034"/>
    <cellStyle name="Percent 2 2 6 9 2" xfId="37239"/>
    <cellStyle name="Percent 2 2 7" xfId="29035"/>
    <cellStyle name="Percent 2 2 7 2" xfId="29036"/>
    <cellStyle name="Percent 2 2 7 2 2" xfId="29037"/>
    <cellStyle name="Percent 2 2 7 2 2 2" xfId="29038"/>
    <cellStyle name="Percent 2 2 7 2 2 2 2" xfId="29039"/>
    <cellStyle name="Percent 2 2 7 2 2 2 2 2" xfId="29040"/>
    <cellStyle name="Percent 2 2 7 2 2 2 2 3" xfId="29041"/>
    <cellStyle name="Percent 2 2 7 2 2 2 3" xfId="29042"/>
    <cellStyle name="Percent 2 2 7 2 2 2 3 2" xfId="29043"/>
    <cellStyle name="Percent 2 2 7 2 2 2 4" xfId="29044"/>
    <cellStyle name="Percent 2 2 7 2 2 3" xfId="29045"/>
    <cellStyle name="Percent 2 2 7 2 2 3 2" xfId="29046"/>
    <cellStyle name="Percent 2 2 7 2 2 3 2 2" xfId="29047"/>
    <cellStyle name="Percent 2 2 7 2 2 3 3" xfId="29048"/>
    <cellStyle name="Percent 2 2 7 2 2 4" xfId="29049"/>
    <cellStyle name="Percent 2 2 7 2 2 4 2" xfId="29050"/>
    <cellStyle name="Percent 2 2 7 2 2 4 3" xfId="29051"/>
    <cellStyle name="Percent 2 2 7 2 2 5" xfId="29052"/>
    <cellStyle name="Percent 2 2 7 2 2 5 2" xfId="29053"/>
    <cellStyle name="Percent 2 2 7 2 2 6" xfId="29054"/>
    <cellStyle name="Percent 2 2 7 2 2 6 2" xfId="37240"/>
    <cellStyle name="Percent 2 2 7 2 2 7" xfId="29055"/>
    <cellStyle name="Percent 2 2 7 2 3" xfId="29056"/>
    <cellStyle name="Percent 2 2 7 2 3 2" xfId="29057"/>
    <cellStyle name="Percent 2 2 7 2 3 2 2" xfId="29058"/>
    <cellStyle name="Percent 2 2 7 2 3 2 2 2" xfId="29059"/>
    <cellStyle name="Percent 2 2 7 2 3 2 3" xfId="29060"/>
    <cellStyle name="Percent 2 2 7 2 3 3" xfId="29061"/>
    <cellStyle name="Percent 2 2 7 2 3 3 2" xfId="29062"/>
    <cellStyle name="Percent 2 2 7 2 3 4" xfId="29063"/>
    <cellStyle name="Percent 2 2 7 2 4" xfId="29064"/>
    <cellStyle name="Percent 2 2 7 2 4 2" xfId="29065"/>
    <cellStyle name="Percent 2 2 7 2 4 2 2" xfId="29066"/>
    <cellStyle name="Percent 2 2 7 2 4 3" xfId="29067"/>
    <cellStyle name="Percent 2 2 7 2 5" xfId="29068"/>
    <cellStyle name="Percent 2 2 7 2 5 2" xfId="29069"/>
    <cellStyle name="Percent 2 2 7 2 5 2 2" xfId="29070"/>
    <cellStyle name="Percent 2 2 7 2 5 3" xfId="29071"/>
    <cellStyle name="Percent 2 2 7 2 6" xfId="29072"/>
    <cellStyle name="Percent 2 2 7 2 6 2" xfId="29073"/>
    <cellStyle name="Percent 2 2 7 2 7" xfId="29074"/>
    <cellStyle name="Percent 2 2 7 2 7 2" xfId="37241"/>
    <cellStyle name="Percent 2 2 7 2 8" xfId="29075"/>
    <cellStyle name="Percent 2 2 7 3" xfId="29076"/>
    <cellStyle name="Percent 2 2 7 3 2" xfId="29077"/>
    <cellStyle name="Percent 2 2 7 3 2 2" xfId="29078"/>
    <cellStyle name="Percent 2 2 7 3 2 2 2" xfId="29079"/>
    <cellStyle name="Percent 2 2 7 3 2 2 3" xfId="29080"/>
    <cellStyle name="Percent 2 2 7 3 2 3" xfId="29081"/>
    <cellStyle name="Percent 2 2 7 3 2 3 2" xfId="29082"/>
    <cellStyle name="Percent 2 2 7 3 2 4" xfId="29083"/>
    <cellStyle name="Percent 2 2 7 3 3" xfId="29084"/>
    <cellStyle name="Percent 2 2 7 3 3 2" xfId="29085"/>
    <cellStyle name="Percent 2 2 7 3 3 2 2" xfId="29086"/>
    <cellStyle name="Percent 2 2 7 3 3 3" xfId="29087"/>
    <cellStyle name="Percent 2 2 7 3 4" xfId="29088"/>
    <cellStyle name="Percent 2 2 7 3 4 2" xfId="29089"/>
    <cellStyle name="Percent 2 2 7 3 4 3" xfId="29090"/>
    <cellStyle name="Percent 2 2 7 3 5" xfId="29091"/>
    <cellStyle name="Percent 2 2 7 3 5 2" xfId="29092"/>
    <cellStyle name="Percent 2 2 7 3 6" xfId="29093"/>
    <cellStyle name="Percent 2 2 7 3 6 2" xfId="37242"/>
    <cellStyle name="Percent 2 2 7 3 7" xfId="29094"/>
    <cellStyle name="Percent 2 2 7 4" xfId="29095"/>
    <cellStyle name="Percent 2 2 7 4 2" xfId="29096"/>
    <cellStyle name="Percent 2 2 7 4 2 2" xfId="29097"/>
    <cellStyle name="Percent 2 2 7 4 2 2 2" xfId="29098"/>
    <cellStyle name="Percent 2 2 7 4 2 3" xfId="29099"/>
    <cellStyle name="Percent 2 2 7 4 3" xfId="29100"/>
    <cellStyle name="Percent 2 2 7 4 3 2" xfId="29101"/>
    <cellStyle name="Percent 2 2 7 4 4" xfId="29102"/>
    <cellStyle name="Percent 2 2 7 5" xfId="29103"/>
    <cellStyle name="Percent 2 2 7 5 2" xfId="29104"/>
    <cellStyle name="Percent 2 2 7 5 2 2" xfId="29105"/>
    <cellStyle name="Percent 2 2 7 5 3" xfId="29106"/>
    <cellStyle name="Percent 2 2 7 6" xfId="29107"/>
    <cellStyle name="Percent 2 2 7 6 2" xfId="29108"/>
    <cellStyle name="Percent 2 2 7 6 2 2" xfId="29109"/>
    <cellStyle name="Percent 2 2 7 6 3" xfId="29110"/>
    <cellStyle name="Percent 2 2 7 7" xfId="29111"/>
    <cellStyle name="Percent 2 2 7 7 2" xfId="29112"/>
    <cellStyle name="Percent 2 2 7 8" xfId="29113"/>
    <cellStyle name="Percent 2 2 7 8 2" xfId="37243"/>
    <cellStyle name="Percent 2 2 7 9" xfId="29114"/>
    <cellStyle name="Percent 2 2 8" xfId="29115"/>
    <cellStyle name="Percent 2 2 8 2" xfId="29116"/>
    <cellStyle name="Percent 2 2 8 2 2" xfId="29117"/>
    <cellStyle name="Percent 2 2 8 2 2 2" xfId="29118"/>
    <cellStyle name="Percent 2 2 8 2 2 2 2" xfId="29119"/>
    <cellStyle name="Percent 2 2 8 2 2 2 2 2" xfId="29120"/>
    <cellStyle name="Percent 2 2 8 2 2 2 2 3" xfId="29121"/>
    <cellStyle name="Percent 2 2 8 2 2 2 3" xfId="29122"/>
    <cellStyle name="Percent 2 2 8 2 2 2 3 2" xfId="29123"/>
    <cellStyle name="Percent 2 2 8 2 2 2 4" xfId="29124"/>
    <cellStyle name="Percent 2 2 8 2 2 3" xfId="29125"/>
    <cellStyle name="Percent 2 2 8 2 2 3 2" xfId="29126"/>
    <cellStyle name="Percent 2 2 8 2 2 3 2 2" xfId="29127"/>
    <cellStyle name="Percent 2 2 8 2 2 3 3" xfId="29128"/>
    <cellStyle name="Percent 2 2 8 2 2 4" xfId="29129"/>
    <cellStyle name="Percent 2 2 8 2 2 4 2" xfId="29130"/>
    <cellStyle name="Percent 2 2 8 2 2 4 3" xfId="29131"/>
    <cellStyle name="Percent 2 2 8 2 2 5" xfId="29132"/>
    <cellStyle name="Percent 2 2 8 2 2 5 2" xfId="29133"/>
    <cellStyle name="Percent 2 2 8 2 2 6" xfId="29134"/>
    <cellStyle name="Percent 2 2 8 2 2 6 2" xfId="37244"/>
    <cellStyle name="Percent 2 2 8 2 2 7" xfId="29135"/>
    <cellStyle name="Percent 2 2 8 2 3" xfId="29136"/>
    <cellStyle name="Percent 2 2 8 2 3 2" xfId="29137"/>
    <cellStyle name="Percent 2 2 8 2 3 2 2" xfId="29138"/>
    <cellStyle name="Percent 2 2 8 2 3 2 2 2" xfId="29139"/>
    <cellStyle name="Percent 2 2 8 2 3 2 3" xfId="29140"/>
    <cellStyle name="Percent 2 2 8 2 3 3" xfId="29141"/>
    <cellStyle name="Percent 2 2 8 2 3 3 2" xfId="29142"/>
    <cellStyle name="Percent 2 2 8 2 3 4" xfId="29143"/>
    <cellStyle name="Percent 2 2 8 2 4" xfId="29144"/>
    <cellStyle name="Percent 2 2 8 2 4 2" xfId="29145"/>
    <cellStyle name="Percent 2 2 8 2 4 2 2" xfId="29146"/>
    <cellStyle name="Percent 2 2 8 2 4 3" xfId="29147"/>
    <cellStyle name="Percent 2 2 8 2 5" xfId="29148"/>
    <cellStyle name="Percent 2 2 8 2 5 2" xfId="29149"/>
    <cellStyle name="Percent 2 2 8 2 5 2 2" xfId="29150"/>
    <cellStyle name="Percent 2 2 8 2 5 3" xfId="29151"/>
    <cellStyle name="Percent 2 2 8 2 6" xfId="29152"/>
    <cellStyle name="Percent 2 2 8 2 6 2" xfId="29153"/>
    <cellStyle name="Percent 2 2 8 2 7" xfId="29154"/>
    <cellStyle name="Percent 2 2 8 2 7 2" xfId="37245"/>
    <cellStyle name="Percent 2 2 8 2 8" xfId="29155"/>
    <cellStyle name="Percent 2 2 8 3" xfId="29156"/>
    <cellStyle name="Percent 2 2 8 3 2" xfId="29157"/>
    <cellStyle name="Percent 2 2 8 3 2 2" xfId="29158"/>
    <cellStyle name="Percent 2 2 8 3 2 2 2" xfId="29159"/>
    <cellStyle name="Percent 2 2 8 3 2 2 3" xfId="29160"/>
    <cellStyle name="Percent 2 2 8 3 2 3" xfId="29161"/>
    <cellStyle name="Percent 2 2 8 3 2 3 2" xfId="29162"/>
    <cellStyle name="Percent 2 2 8 3 2 4" xfId="29163"/>
    <cellStyle name="Percent 2 2 8 3 3" xfId="29164"/>
    <cellStyle name="Percent 2 2 8 3 3 2" xfId="29165"/>
    <cellStyle name="Percent 2 2 8 3 3 2 2" xfId="29166"/>
    <cellStyle name="Percent 2 2 8 3 3 3" xfId="29167"/>
    <cellStyle name="Percent 2 2 8 3 4" xfId="29168"/>
    <cellStyle name="Percent 2 2 8 3 4 2" xfId="29169"/>
    <cellStyle name="Percent 2 2 8 3 4 3" xfId="29170"/>
    <cellStyle name="Percent 2 2 8 3 5" xfId="29171"/>
    <cellStyle name="Percent 2 2 8 3 5 2" xfId="29172"/>
    <cellStyle name="Percent 2 2 8 3 6" xfId="29173"/>
    <cellStyle name="Percent 2 2 8 3 6 2" xfId="37246"/>
    <cellStyle name="Percent 2 2 8 3 7" xfId="29174"/>
    <cellStyle name="Percent 2 2 8 4" xfId="29175"/>
    <cellStyle name="Percent 2 2 8 4 2" xfId="29176"/>
    <cellStyle name="Percent 2 2 8 4 2 2" xfId="29177"/>
    <cellStyle name="Percent 2 2 8 4 2 2 2" xfId="29178"/>
    <cellStyle name="Percent 2 2 8 4 2 3" xfId="29179"/>
    <cellStyle name="Percent 2 2 8 4 3" xfId="29180"/>
    <cellStyle name="Percent 2 2 8 4 3 2" xfId="29181"/>
    <cellStyle name="Percent 2 2 8 4 4" xfId="29182"/>
    <cellStyle name="Percent 2 2 8 5" xfId="29183"/>
    <cellStyle name="Percent 2 2 8 5 2" xfId="29184"/>
    <cellStyle name="Percent 2 2 8 5 2 2" xfId="29185"/>
    <cellStyle name="Percent 2 2 8 5 3" xfId="29186"/>
    <cellStyle name="Percent 2 2 8 6" xfId="29187"/>
    <cellStyle name="Percent 2 2 8 6 2" xfId="29188"/>
    <cellStyle name="Percent 2 2 8 6 2 2" xfId="29189"/>
    <cellStyle name="Percent 2 2 8 6 3" xfId="29190"/>
    <cellStyle name="Percent 2 2 8 7" xfId="29191"/>
    <cellStyle name="Percent 2 2 8 7 2" xfId="29192"/>
    <cellStyle name="Percent 2 2 8 8" xfId="29193"/>
    <cellStyle name="Percent 2 2 8 8 2" xfId="37247"/>
    <cellStyle name="Percent 2 2 8 9" xfId="29194"/>
    <cellStyle name="Percent 2 2 9" xfId="29195"/>
    <cellStyle name="Percent 2 2 9 2" xfId="29196"/>
    <cellStyle name="Percent 2 2 9 2 2" xfId="29197"/>
    <cellStyle name="Percent 2 2 9 2 2 2" xfId="29198"/>
    <cellStyle name="Percent 2 2 9 2 2 2 2" xfId="29199"/>
    <cellStyle name="Percent 2 2 9 2 2 2 3" xfId="29200"/>
    <cellStyle name="Percent 2 2 9 2 2 3" xfId="29201"/>
    <cellStyle name="Percent 2 2 9 2 2 3 2" xfId="29202"/>
    <cellStyle name="Percent 2 2 9 2 2 4" xfId="29203"/>
    <cellStyle name="Percent 2 2 9 2 3" xfId="29204"/>
    <cellStyle name="Percent 2 2 9 2 3 2" xfId="29205"/>
    <cellStyle name="Percent 2 2 9 2 3 2 2" xfId="29206"/>
    <cellStyle name="Percent 2 2 9 2 3 3" xfId="29207"/>
    <cellStyle name="Percent 2 2 9 2 4" xfId="29208"/>
    <cellStyle name="Percent 2 2 9 2 4 2" xfId="29209"/>
    <cellStyle name="Percent 2 2 9 2 4 3" xfId="29210"/>
    <cellStyle name="Percent 2 2 9 2 5" xfId="29211"/>
    <cellStyle name="Percent 2 2 9 2 5 2" xfId="29212"/>
    <cellStyle name="Percent 2 2 9 2 6" xfId="29213"/>
    <cellStyle name="Percent 2 2 9 2 6 2" xfId="37248"/>
    <cellStyle name="Percent 2 2 9 2 7" xfId="29214"/>
    <cellStyle name="Percent 2 2 9 3" xfId="29215"/>
    <cellStyle name="Percent 2 2 9 3 2" xfId="29216"/>
    <cellStyle name="Percent 2 2 9 3 2 2" xfId="29217"/>
    <cellStyle name="Percent 2 2 9 3 2 2 2" xfId="29218"/>
    <cellStyle name="Percent 2 2 9 3 2 3" xfId="29219"/>
    <cellStyle name="Percent 2 2 9 3 3" xfId="29220"/>
    <cellStyle name="Percent 2 2 9 3 3 2" xfId="29221"/>
    <cellStyle name="Percent 2 2 9 3 4" xfId="29222"/>
    <cellStyle name="Percent 2 2 9 4" xfId="29223"/>
    <cellStyle name="Percent 2 2 9 4 2" xfId="29224"/>
    <cellStyle name="Percent 2 2 9 4 2 2" xfId="29225"/>
    <cellStyle name="Percent 2 2 9 4 3" xfId="29226"/>
    <cellStyle name="Percent 2 2 9 5" xfId="29227"/>
    <cellStyle name="Percent 2 2 9 5 2" xfId="29228"/>
    <cellStyle name="Percent 2 2 9 5 2 2" xfId="29229"/>
    <cellStyle name="Percent 2 2 9 5 3" xfId="29230"/>
    <cellStyle name="Percent 2 2 9 6" xfId="29231"/>
    <cellStyle name="Percent 2 2 9 6 2" xfId="29232"/>
    <cellStyle name="Percent 2 2 9 7" xfId="29233"/>
    <cellStyle name="Percent 2 2 9 7 2" xfId="37249"/>
    <cellStyle name="Percent 2 2 9 8" xfId="29234"/>
    <cellStyle name="Percent 2 3" xfId="29235"/>
    <cellStyle name="Percent 2 3 10" xfId="29236"/>
    <cellStyle name="Percent 2 3 10 2" xfId="29237"/>
    <cellStyle name="Percent 2 3 10 2 2" xfId="29238"/>
    <cellStyle name="Percent 2 3 10 3" xfId="29239"/>
    <cellStyle name="Percent 2 3 11" xfId="29240"/>
    <cellStyle name="Percent 2 3 11 2" xfId="29241"/>
    <cellStyle name="Percent 2 3 11 2 2" xfId="29242"/>
    <cellStyle name="Percent 2 3 11 3" xfId="29243"/>
    <cellStyle name="Percent 2 3 12" xfId="29244"/>
    <cellStyle name="Percent 2 3 12 2" xfId="29245"/>
    <cellStyle name="Percent 2 3 13" xfId="29246"/>
    <cellStyle name="Percent 2 3 13 2" xfId="37250"/>
    <cellStyle name="Percent 2 3 14" xfId="29247"/>
    <cellStyle name="Percent 2 3 2" xfId="29248"/>
    <cellStyle name="Percent 2 3 2 10" xfId="29249"/>
    <cellStyle name="Percent 2 3 2 2" xfId="29250"/>
    <cellStyle name="Percent 2 3 2 2 2" xfId="29251"/>
    <cellStyle name="Percent 2 3 2 2 2 2" xfId="29252"/>
    <cellStyle name="Percent 2 3 2 2 2 2 2" xfId="29253"/>
    <cellStyle name="Percent 2 3 2 2 2 2 2 2" xfId="29254"/>
    <cellStyle name="Percent 2 3 2 2 2 2 2 2 2" xfId="29255"/>
    <cellStyle name="Percent 2 3 2 2 2 2 2 2 3" xfId="29256"/>
    <cellStyle name="Percent 2 3 2 2 2 2 2 3" xfId="29257"/>
    <cellStyle name="Percent 2 3 2 2 2 2 2 3 2" xfId="29258"/>
    <cellStyle name="Percent 2 3 2 2 2 2 2 4" xfId="29259"/>
    <cellStyle name="Percent 2 3 2 2 2 2 3" xfId="29260"/>
    <cellStyle name="Percent 2 3 2 2 2 2 3 2" xfId="29261"/>
    <cellStyle name="Percent 2 3 2 2 2 2 3 2 2" xfId="29262"/>
    <cellStyle name="Percent 2 3 2 2 2 2 3 3" xfId="29263"/>
    <cellStyle name="Percent 2 3 2 2 2 2 4" xfId="29264"/>
    <cellStyle name="Percent 2 3 2 2 2 2 4 2" xfId="29265"/>
    <cellStyle name="Percent 2 3 2 2 2 2 4 3" xfId="29266"/>
    <cellStyle name="Percent 2 3 2 2 2 2 5" xfId="29267"/>
    <cellStyle name="Percent 2 3 2 2 2 2 5 2" xfId="29268"/>
    <cellStyle name="Percent 2 3 2 2 2 2 6" xfId="29269"/>
    <cellStyle name="Percent 2 3 2 2 2 2 6 2" xfId="37251"/>
    <cellStyle name="Percent 2 3 2 2 2 2 7" xfId="29270"/>
    <cellStyle name="Percent 2 3 2 2 2 3" xfId="29271"/>
    <cellStyle name="Percent 2 3 2 2 2 3 2" xfId="29272"/>
    <cellStyle name="Percent 2 3 2 2 2 3 2 2" xfId="29273"/>
    <cellStyle name="Percent 2 3 2 2 2 3 2 2 2" xfId="29274"/>
    <cellStyle name="Percent 2 3 2 2 2 3 2 3" xfId="29275"/>
    <cellStyle name="Percent 2 3 2 2 2 3 3" xfId="29276"/>
    <cellStyle name="Percent 2 3 2 2 2 3 3 2" xfId="29277"/>
    <cellStyle name="Percent 2 3 2 2 2 3 4" xfId="29278"/>
    <cellStyle name="Percent 2 3 2 2 2 4" xfId="29279"/>
    <cellStyle name="Percent 2 3 2 2 2 4 2" xfId="29280"/>
    <cellStyle name="Percent 2 3 2 2 2 4 2 2" xfId="29281"/>
    <cellStyle name="Percent 2 3 2 2 2 4 3" xfId="29282"/>
    <cellStyle name="Percent 2 3 2 2 2 5" xfId="29283"/>
    <cellStyle name="Percent 2 3 2 2 2 5 2" xfId="29284"/>
    <cellStyle name="Percent 2 3 2 2 2 5 2 2" xfId="29285"/>
    <cellStyle name="Percent 2 3 2 2 2 5 3" xfId="29286"/>
    <cellStyle name="Percent 2 3 2 2 2 6" xfId="29287"/>
    <cellStyle name="Percent 2 3 2 2 2 6 2" xfId="29288"/>
    <cellStyle name="Percent 2 3 2 2 2 7" xfId="29289"/>
    <cellStyle name="Percent 2 3 2 2 2 7 2" xfId="37252"/>
    <cellStyle name="Percent 2 3 2 2 2 8" xfId="29290"/>
    <cellStyle name="Percent 2 3 2 2 3" xfId="29291"/>
    <cellStyle name="Percent 2 3 2 2 3 2" xfId="29292"/>
    <cellStyle name="Percent 2 3 2 2 3 2 2" xfId="29293"/>
    <cellStyle name="Percent 2 3 2 2 3 2 2 2" xfId="29294"/>
    <cellStyle name="Percent 2 3 2 2 3 2 2 3" xfId="29295"/>
    <cellStyle name="Percent 2 3 2 2 3 2 3" xfId="29296"/>
    <cellStyle name="Percent 2 3 2 2 3 2 3 2" xfId="29297"/>
    <cellStyle name="Percent 2 3 2 2 3 2 4" xfId="29298"/>
    <cellStyle name="Percent 2 3 2 2 3 3" xfId="29299"/>
    <cellStyle name="Percent 2 3 2 2 3 3 2" xfId="29300"/>
    <cellStyle name="Percent 2 3 2 2 3 3 2 2" xfId="29301"/>
    <cellStyle name="Percent 2 3 2 2 3 3 3" xfId="29302"/>
    <cellStyle name="Percent 2 3 2 2 3 4" xfId="29303"/>
    <cellStyle name="Percent 2 3 2 2 3 4 2" xfId="29304"/>
    <cellStyle name="Percent 2 3 2 2 3 4 3" xfId="29305"/>
    <cellStyle name="Percent 2 3 2 2 3 5" xfId="29306"/>
    <cellStyle name="Percent 2 3 2 2 3 5 2" xfId="29307"/>
    <cellStyle name="Percent 2 3 2 2 3 6" xfId="29308"/>
    <cellStyle name="Percent 2 3 2 2 3 6 2" xfId="37253"/>
    <cellStyle name="Percent 2 3 2 2 3 7" xfId="29309"/>
    <cellStyle name="Percent 2 3 2 2 4" xfId="29310"/>
    <cellStyle name="Percent 2 3 2 2 4 2" xfId="29311"/>
    <cellStyle name="Percent 2 3 2 2 4 2 2" xfId="29312"/>
    <cellStyle name="Percent 2 3 2 2 4 2 2 2" xfId="29313"/>
    <cellStyle name="Percent 2 3 2 2 4 2 3" xfId="29314"/>
    <cellStyle name="Percent 2 3 2 2 4 3" xfId="29315"/>
    <cellStyle name="Percent 2 3 2 2 4 3 2" xfId="29316"/>
    <cellStyle name="Percent 2 3 2 2 4 4" xfId="29317"/>
    <cellStyle name="Percent 2 3 2 2 5" xfId="29318"/>
    <cellStyle name="Percent 2 3 2 2 5 2" xfId="29319"/>
    <cellStyle name="Percent 2 3 2 2 5 2 2" xfId="29320"/>
    <cellStyle name="Percent 2 3 2 2 5 3" xfId="29321"/>
    <cellStyle name="Percent 2 3 2 2 6" xfId="29322"/>
    <cellStyle name="Percent 2 3 2 2 6 2" xfId="29323"/>
    <cellStyle name="Percent 2 3 2 2 6 2 2" xfId="29324"/>
    <cellStyle name="Percent 2 3 2 2 6 3" xfId="29325"/>
    <cellStyle name="Percent 2 3 2 2 7" xfId="29326"/>
    <cellStyle name="Percent 2 3 2 2 7 2" xfId="29327"/>
    <cellStyle name="Percent 2 3 2 2 8" xfId="29328"/>
    <cellStyle name="Percent 2 3 2 2 8 2" xfId="37254"/>
    <cellStyle name="Percent 2 3 2 2 9" xfId="29329"/>
    <cellStyle name="Percent 2 3 2 3" xfId="29330"/>
    <cellStyle name="Percent 2 3 2 3 2" xfId="29331"/>
    <cellStyle name="Percent 2 3 2 3 2 2" xfId="29332"/>
    <cellStyle name="Percent 2 3 2 3 2 2 2" xfId="29333"/>
    <cellStyle name="Percent 2 3 2 3 2 2 2 2" xfId="29334"/>
    <cellStyle name="Percent 2 3 2 3 2 2 2 3" xfId="29335"/>
    <cellStyle name="Percent 2 3 2 3 2 2 3" xfId="29336"/>
    <cellStyle name="Percent 2 3 2 3 2 2 3 2" xfId="29337"/>
    <cellStyle name="Percent 2 3 2 3 2 2 4" xfId="29338"/>
    <cellStyle name="Percent 2 3 2 3 2 3" xfId="29339"/>
    <cellStyle name="Percent 2 3 2 3 2 3 2" xfId="29340"/>
    <cellStyle name="Percent 2 3 2 3 2 3 2 2" xfId="29341"/>
    <cellStyle name="Percent 2 3 2 3 2 3 3" xfId="29342"/>
    <cellStyle name="Percent 2 3 2 3 2 4" xfId="29343"/>
    <cellStyle name="Percent 2 3 2 3 2 4 2" xfId="29344"/>
    <cellStyle name="Percent 2 3 2 3 2 4 3" xfId="29345"/>
    <cellStyle name="Percent 2 3 2 3 2 5" xfId="29346"/>
    <cellStyle name="Percent 2 3 2 3 2 5 2" xfId="29347"/>
    <cellStyle name="Percent 2 3 2 3 2 6" xfId="29348"/>
    <cellStyle name="Percent 2 3 2 3 2 6 2" xfId="37255"/>
    <cellStyle name="Percent 2 3 2 3 2 7" xfId="29349"/>
    <cellStyle name="Percent 2 3 2 3 3" xfId="29350"/>
    <cellStyle name="Percent 2 3 2 3 3 2" xfId="29351"/>
    <cellStyle name="Percent 2 3 2 3 3 2 2" xfId="29352"/>
    <cellStyle name="Percent 2 3 2 3 3 2 2 2" xfId="29353"/>
    <cellStyle name="Percent 2 3 2 3 3 2 3" xfId="29354"/>
    <cellStyle name="Percent 2 3 2 3 3 3" xfId="29355"/>
    <cellStyle name="Percent 2 3 2 3 3 3 2" xfId="29356"/>
    <cellStyle name="Percent 2 3 2 3 3 4" xfId="29357"/>
    <cellStyle name="Percent 2 3 2 3 4" xfId="29358"/>
    <cellStyle name="Percent 2 3 2 3 4 2" xfId="29359"/>
    <cellStyle name="Percent 2 3 2 3 4 2 2" xfId="29360"/>
    <cellStyle name="Percent 2 3 2 3 4 3" xfId="29361"/>
    <cellStyle name="Percent 2 3 2 3 5" xfId="29362"/>
    <cellStyle name="Percent 2 3 2 3 5 2" xfId="29363"/>
    <cellStyle name="Percent 2 3 2 3 5 2 2" xfId="29364"/>
    <cellStyle name="Percent 2 3 2 3 5 3" xfId="29365"/>
    <cellStyle name="Percent 2 3 2 3 6" xfId="29366"/>
    <cellStyle name="Percent 2 3 2 3 6 2" xfId="29367"/>
    <cellStyle name="Percent 2 3 2 3 7" xfId="29368"/>
    <cellStyle name="Percent 2 3 2 3 7 2" xfId="37256"/>
    <cellStyle name="Percent 2 3 2 3 8" xfId="29369"/>
    <cellStyle name="Percent 2 3 2 4" xfId="29370"/>
    <cellStyle name="Percent 2 3 2 4 2" xfId="29371"/>
    <cellStyle name="Percent 2 3 2 4 2 2" xfId="29372"/>
    <cellStyle name="Percent 2 3 2 4 2 2 2" xfId="29373"/>
    <cellStyle name="Percent 2 3 2 4 2 2 3" xfId="29374"/>
    <cellStyle name="Percent 2 3 2 4 2 3" xfId="29375"/>
    <cellStyle name="Percent 2 3 2 4 2 3 2" xfId="29376"/>
    <cellStyle name="Percent 2 3 2 4 2 4" xfId="29377"/>
    <cellStyle name="Percent 2 3 2 4 3" xfId="29378"/>
    <cellStyle name="Percent 2 3 2 4 3 2" xfId="29379"/>
    <cellStyle name="Percent 2 3 2 4 3 2 2" xfId="29380"/>
    <cellStyle name="Percent 2 3 2 4 3 3" xfId="29381"/>
    <cellStyle name="Percent 2 3 2 4 4" xfId="29382"/>
    <cellStyle name="Percent 2 3 2 4 4 2" xfId="29383"/>
    <cellStyle name="Percent 2 3 2 4 4 3" xfId="29384"/>
    <cellStyle name="Percent 2 3 2 4 5" xfId="29385"/>
    <cellStyle name="Percent 2 3 2 4 5 2" xfId="29386"/>
    <cellStyle name="Percent 2 3 2 4 6" xfId="29387"/>
    <cellStyle name="Percent 2 3 2 4 6 2" xfId="37257"/>
    <cellStyle name="Percent 2 3 2 4 7" xfId="29388"/>
    <cellStyle name="Percent 2 3 2 5" xfId="29389"/>
    <cellStyle name="Percent 2 3 2 5 2" xfId="29390"/>
    <cellStyle name="Percent 2 3 2 5 2 2" xfId="29391"/>
    <cellStyle name="Percent 2 3 2 5 2 2 2" xfId="29392"/>
    <cellStyle name="Percent 2 3 2 5 2 3" xfId="29393"/>
    <cellStyle name="Percent 2 3 2 5 3" xfId="29394"/>
    <cellStyle name="Percent 2 3 2 5 3 2" xfId="29395"/>
    <cellStyle name="Percent 2 3 2 5 4" xfId="29396"/>
    <cellStyle name="Percent 2 3 2 6" xfId="29397"/>
    <cellStyle name="Percent 2 3 2 6 2" xfId="29398"/>
    <cellStyle name="Percent 2 3 2 6 2 2" xfId="29399"/>
    <cellStyle name="Percent 2 3 2 6 3" xfId="29400"/>
    <cellStyle name="Percent 2 3 2 7" xfId="29401"/>
    <cellStyle name="Percent 2 3 2 7 2" xfId="29402"/>
    <cellStyle name="Percent 2 3 2 7 2 2" xfId="29403"/>
    <cellStyle name="Percent 2 3 2 7 3" xfId="29404"/>
    <cellStyle name="Percent 2 3 2 8" xfId="29405"/>
    <cellStyle name="Percent 2 3 2 8 2" xfId="29406"/>
    <cellStyle name="Percent 2 3 2 9" xfId="29407"/>
    <cellStyle name="Percent 2 3 2 9 2" xfId="37258"/>
    <cellStyle name="Percent 2 3 3" xfId="29408"/>
    <cellStyle name="Percent 2 3 3 2" xfId="29409"/>
    <cellStyle name="Percent 2 3 3 2 2" xfId="29410"/>
    <cellStyle name="Percent 2 3 3 2 2 2" xfId="29411"/>
    <cellStyle name="Percent 2 3 3 2 2 2 2" xfId="29412"/>
    <cellStyle name="Percent 2 3 3 2 2 2 2 2" xfId="29413"/>
    <cellStyle name="Percent 2 3 3 2 2 2 2 3" xfId="29414"/>
    <cellStyle name="Percent 2 3 3 2 2 2 3" xfId="29415"/>
    <cellStyle name="Percent 2 3 3 2 2 2 3 2" xfId="29416"/>
    <cellStyle name="Percent 2 3 3 2 2 2 4" xfId="29417"/>
    <cellStyle name="Percent 2 3 3 2 2 3" xfId="29418"/>
    <cellStyle name="Percent 2 3 3 2 2 3 2" xfId="29419"/>
    <cellStyle name="Percent 2 3 3 2 2 3 2 2" xfId="29420"/>
    <cellStyle name="Percent 2 3 3 2 2 3 3" xfId="29421"/>
    <cellStyle name="Percent 2 3 3 2 2 4" xfId="29422"/>
    <cellStyle name="Percent 2 3 3 2 2 4 2" xfId="29423"/>
    <cellStyle name="Percent 2 3 3 2 2 4 3" xfId="29424"/>
    <cellStyle name="Percent 2 3 3 2 2 5" xfId="29425"/>
    <cellStyle name="Percent 2 3 3 2 2 5 2" xfId="29426"/>
    <cellStyle name="Percent 2 3 3 2 2 6" xfId="29427"/>
    <cellStyle name="Percent 2 3 3 2 2 6 2" xfId="37259"/>
    <cellStyle name="Percent 2 3 3 2 2 7" xfId="29428"/>
    <cellStyle name="Percent 2 3 3 2 3" xfId="29429"/>
    <cellStyle name="Percent 2 3 3 2 3 2" xfId="29430"/>
    <cellStyle name="Percent 2 3 3 2 3 2 2" xfId="29431"/>
    <cellStyle name="Percent 2 3 3 2 3 2 2 2" xfId="29432"/>
    <cellStyle name="Percent 2 3 3 2 3 2 3" xfId="29433"/>
    <cellStyle name="Percent 2 3 3 2 3 3" xfId="29434"/>
    <cellStyle name="Percent 2 3 3 2 3 3 2" xfId="29435"/>
    <cellStyle name="Percent 2 3 3 2 3 4" xfId="29436"/>
    <cellStyle name="Percent 2 3 3 2 4" xfId="29437"/>
    <cellStyle name="Percent 2 3 3 2 4 2" xfId="29438"/>
    <cellStyle name="Percent 2 3 3 2 4 2 2" xfId="29439"/>
    <cellStyle name="Percent 2 3 3 2 4 3" xfId="29440"/>
    <cellStyle name="Percent 2 3 3 2 5" xfId="29441"/>
    <cellStyle name="Percent 2 3 3 2 5 2" xfId="29442"/>
    <cellStyle name="Percent 2 3 3 2 5 2 2" xfId="29443"/>
    <cellStyle name="Percent 2 3 3 2 5 3" xfId="29444"/>
    <cellStyle name="Percent 2 3 3 2 6" xfId="29445"/>
    <cellStyle name="Percent 2 3 3 2 6 2" xfId="29446"/>
    <cellStyle name="Percent 2 3 3 2 7" xfId="29447"/>
    <cellStyle name="Percent 2 3 3 2 7 2" xfId="37260"/>
    <cellStyle name="Percent 2 3 3 2 8" xfId="29448"/>
    <cellStyle name="Percent 2 3 3 3" xfId="29449"/>
    <cellStyle name="Percent 2 3 3 3 2" xfId="29450"/>
    <cellStyle name="Percent 2 3 3 3 2 2" xfId="29451"/>
    <cellStyle name="Percent 2 3 3 3 2 2 2" xfId="29452"/>
    <cellStyle name="Percent 2 3 3 3 2 2 3" xfId="29453"/>
    <cellStyle name="Percent 2 3 3 3 2 3" xfId="29454"/>
    <cellStyle name="Percent 2 3 3 3 2 3 2" xfId="29455"/>
    <cellStyle name="Percent 2 3 3 3 2 4" xfId="29456"/>
    <cellStyle name="Percent 2 3 3 3 3" xfId="29457"/>
    <cellStyle name="Percent 2 3 3 3 3 2" xfId="29458"/>
    <cellStyle name="Percent 2 3 3 3 3 2 2" xfId="29459"/>
    <cellStyle name="Percent 2 3 3 3 3 3" xfId="29460"/>
    <cellStyle name="Percent 2 3 3 3 4" xfId="29461"/>
    <cellStyle name="Percent 2 3 3 3 4 2" xfId="29462"/>
    <cellStyle name="Percent 2 3 3 3 4 3" xfId="29463"/>
    <cellStyle name="Percent 2 3 3 3 5" xfId="29464"/>
    <cellStyle name="Percent 2 3 3 3 5 2" xfId="29465"/>
    <cellStyle name="Percent 2 3 3 3 6" xfId="29466"/>
    <cellStyle name="Percent 2 3 3 3 6 2" xfId="37261"/>
    <cellStyle name="Percent 2 3 3 3 7" xfId="29467"/>
    <cellStyle name="Percent 2 3 3 4" xfId="29468"/>
    <cellStyle name="Percent 2 3 3 4 2" xfId="29469"/>
    <cellStyle name="Percent 2 3 3 4 2 2" xfId="29470"/>
    <cellStyle name="Percent 2 3 3 4 2 2 2" xfId="29471"/>
    <cellStyle name="Percent 2 3 3 4 2 3" xfId="29472"/>
    <cellStyle name="Percent 2 3 3 4 3" xfId="29473"/>
    <cellStyle name="Percent 2 3 3 4 3 2" xfId="29474"/>
    <cellStyle name="Percent 2 3 3 4 4" xfId="29475"/>
    <cellStyle name="Percent 2 3 3 5" xfId="29476"/>
    <cellStyle name="Percent 2 3 3 5 2" xfId="29477"/>
    <cellStyle name="Percent 2 3 3 5 2 2" xfId="29478"/>
    <cellStyle name="Percent 2 3 3 5 3" xfId="29479"/>
    <cellStyle name="Percent 2 3 3 6" xfId="29480"/>
    <cellStyle name="Percent 2 3 3 6 2" xfId="29481"/>
    <cellStyle name="Percent 2 3 3 6 2 2" xfId="29482"/>
    <cellStyle name="Percent 2 3 3 6 3" xfId="29483"/>
    <cellStyle name="Percent 2 3 3 7" xfId="29484"/>
    <cellStyle name="Percent 2 3 3 7 2" xfId="29485"/>
    <cellStyle name="Percent 2 3 3 8" xfId="29486"/>
    <cellStyle name="Percent 2 3 3 8 2" xfId="37262"/>
    <cellStyle name="Percent 2 3 3 9" xfId="29487"/>
    <cellStyle name="Percent 2 3 4" xfId="29488"/>
    <cellStyle name="Percent 2 3 4 2" xfId="29489"/>
    <cellStyle name="Percent 2 3 4 2 2" xfId="29490"/>
    <cellStyle name="Percent 2 3 4 2 2 2" xfId="29491"/>
    <cellStyle name="Percent 2 3 4 2 2 2 2" xfId="29492"/>
    <cellStyle name="Percent 2 3 4 2 2 2 2 2" xfId="29493"/>
    <cellStyle name="Percent 2 3 4 2 2 2 2 3" xfId="29494"/>
    <cellStyle name="Percent 2 3 4 2 2 2 3" xfId="29495"/>
    <cellStyle name="Percent 2 3 4 2 2 2 3 2" xfId="29496"/>
    <cellStyle name="Percent 2 3 4 2 2 2 4" xfId="29497"/>
    <cellStyle name="Percent 2 3 4 2 2 3" xfId="29498"/>
    <cellStyle name="Percent 2 3 4 2 2 3 2" xfId="29499"/>
    <cellStyle name="Percent 2 3 4 2 2 3 2 2" xfId="29500"/>
    <cellStyle name="Percent 2 3 4 2 2 3 3" xfId="29501"/>
    <cellStyle name="Percent 2 3 4 2 2 4" xfId="29502"/>
    <cellStyle name="Percent 2 3 4 2 2 4 2" xfId="29503"/>
    <cellStyle name="Percent 2 3 4 2 2 4 3" xfId="29504"/>
    <cellStyle name="Percent 2 3 4 2 2 5" xfId="29505"/>
    <cellStyle name="Percent 2 3 4 2 2 5 2" xfId="29506"/>
    <cellStyle name="Percent 2 3 4 2 2 6" xfId="29507"/>
    <cellStyle name="Percent 2 3 4 2 2 6 2" xfId="37263"/>
    <cellStyle name="Percent 2 3 4 2 2 7" xfId="29508"/>
    <cellStyle name="Percent 2 3 4 2 3" xfId="29509"/>
    <cellStyle name="Percent 2 3 4 2 3 2" xfId="29510"/>
    <cellStyle name="Percent 2 3 4 2 3 2 2" xfId="29511"/>
    <cellStyle name="Percent 2 3 4 2 3 2 2 2" xfId="29512"/>
    <cellStyle name="Percent 2 3 4 2 3 2 3" xfId="29513"/>
    <cellStyle name="Percent 2 3 4 2 3 3" xfId="29514"/>
    <cellStyle name="Percent 2 3 4 2 3 3 2" xfId="29515"/>
    <cellStyle name="Percent 2 3 4 2 3 4" xfId="29516"/>
    <cellStyle name="Percent 2 3 4 2 4" xfId="29517"/>
    <cellStyle name="Percent 2 3 4 2 4 2" xfId="29518"/>
    <cellStyle name="Percent 2 3 4 2 4 2 2" xfId="29519"/>
    <cellStyle name="Percent 2 3 4 2 4 3" xfId="29520"/>
    <cellStyle name="Percent 2 3 4 2 5" xfId="29521"/>
    <cellStyle name="Percent 2 3 4 2 5 2" xfId="29522"/>
    <cellStyle name="Percent 2 3 4 2 5 2 2" xfId="29523"/>
    <cellStyle name="Percent 2 3 4 2 5 3" xfId="29524"/>
    <cellStyle name="Percent 2 3 4 2 6" xfId="29525"/>
    <cellStyle name="Percent 2 3 4 2 6 2" xfId="29526"/>
    <cellStyle name="Percent 2 3 4 2 7" xfId="29527"/>
    <cellStyle name="Percent 2 3 4 2 7 2" xfId="37264"/>
    <cellStyle name="Percent 2 3 4 2 8" xfId="29528"/>
    <cellStyle name="Percent 2 3 4 3" xfId="29529"/>
    <cellStyle name="Percent 2 3 4 3 2" xfId="29530"/>
    <cellStyle name="Percent 2 3 4 3 2 2" xfId="29531"/>
    <cellStyle name="Percent 2 3 4 3 2 2 2" xfId="29532"/>
    <cellStyle name="Percent 2 3 4 3 2 2 3" xfId="29533"/>
    <cellStyle name="Percent 2 3 4 3 2 3" xfId="29534"/>
    <cellStyle name="Percent 2 3 4 3 2 3 2" xfId="29535"/>
    <cellStyle name="Percent 2 3 4 3 2 4" xfId="29536"/>
    <cellStyle name="Percent 2 3 4 3 3" xfId="29537"/>
    <cellStyle name="Percent 2 3 4 3 3 2" xfId="29538"/>
    <cellStyle name="Percent 2 3 4 3 3 2 2" xfId="29539"/>
    <cellStyle name="Percent 2 3 4 3 3 3" xfId="29540"/>
    <cellStyle name="Percent 2 3 4 3 4" xfId="29541"/>
    <cellStyle name="Percent 2 3 4 3 4 2" xfId="29542"/>
    <cellStyle name="Percent 2 3 4 3 4 3" xfId="29543"/>
    <cellStyle name="Percent 2 3 4 3 5" xfId="29544"/>
    <cellStyle name="Percent 2 3 4 3 5 2" xfId="29545"/>
    <cellStyle name="Percent 2 3 4 3 6" xfId="29546"/>
    <cellStyle name="Percent 2 3 4 3 6 2" xfId="37265"/>
    <cellStyle name="Percent 2 3 4 3 7" xfId="29547"/>
    <cellStyle name="Percent 2 3 4 4" xfId="29548"/>
    <cellStyle name="Percent 2 3 4 4 2" xfId="29549"/>
    <cellStyle name="Percent 2 3 4 4 2 2" xfId="29550"/>
    <cellStyle name="Percent 2 3 4 4 2 2 2" xfId="29551"/>
    <cellStyle name="Percent 2 3 4 4 2 3" xfId="29552"/>
    <cellStyle name="Percent 2 3 4 4 3" xfId="29553"/>
    <cellStyle name="Percent 2 3 4 4 3 2" xfId="29554"/>
    <cellStyle name="Percent 2 3 4 4 4" xfId="29555"/>
    <cellStyle name="Percent 2 3 4 5" xfId="29556"/>
    <cellStyle name="Percent 2 3 4 5 2" xfId="29557"/>
    <cellStyle name="Percent 2 3 4 5 2 2" xfId="29558"/>
    <cellStyle name="Percent 2 3 4 5 3" xfId="29559"/>
    <cellStyle name="Percent 2 3 4 6" xfId="29560"/>
    <cellStyle name="Percent 2 3 4 6 2" xfId="29561"/>
    <cellStyle name="Percent 2 3 4 6 2 2" xfId="29562"/>
    <cellStyle name="Percent 2 3 4 6 3" xfId="29563"/>
    <cellStyle name="Percent 2 3 4 7" xfId="29564"/>
    <cellStyle name="Percent 2 3 4 7 2" xfId="29565"/>
    <cellStyle name="Percent 2 3 4 8" xfId="29566"/>
    <cellStyle name="Percent 2 3 4 8 2" xfId="37266"/>
    <cellStyle name="Percent 2 3 4 9" xfId="29567"/>
    <cellStyle name="Percent 2 3 5" xfId="29568"/>
    <cellStyle name="Percent 2 3 5 2" xfId="29569"/>
    <cellStyle name="Percent 2 3 5 2 2" xfId="29570"/>
    <cellStyle name="Percent 2 3 5 2 2 2" xfId="29571"/>
    <cellStyle name="Percent 2 3 5 2 2 2 2" xfId="29572"/>
    <cellStyle name="Percent 2 3 5 2 2 2 3" xfId="29573"/>
    <cellStyle name="Percent 2 3 5 2 2 3" xfId="29574"/>
    <cellStyle name="Percent 2 3 5 2 2 3 2" xfId="29575"/>
    <cellStyle name="Percent 2 3 5 2 2 4" xfId="29576"/>
    <cellStyle name="Percent 2 3 5 2 3" xfId="29577"/>
    <cellStyle name="Percent 2 3 5 2 3 2" xfId="29578"/>
    <cellStyle name="Percent 2 3 5 2 3 2 2" xfId="29579"/>
    <cellStyle name="Percent 2 3 5 2 3 3" xfId="29580"/>
    <cellStyle name="Percent 2 3 5 2 4" xfId="29581"/>
    <cellStyle name="Percent 2 3 5 2 4 2" xfId="29582"/>
    <cellStyle name="Percent 2 3 5 2 4 3" xfId="29583"/>
    <cellStyle name="Percent 2 3 5 2 5" xfId="29584"/>
    <cellStyle name="Percent 2 3 5 2 5 2" xfId="29585"/>
    <cellStyle name="Percent 2 3 5 2 6" xfId="29586"/>
    <cellStyle name="Percent 2 3 5 2 6 2" xfId="37267"/>
    <cellStyle name="Percent 2 3 5 2 7" xfId="29587"/>
    <cellStyle name="Percent 2 3 5 3" xfId="29588"/>
    <cellStyle name="Percent 2 3 5 3 2" xfId="29589"/>
    <cellStyle name="Percent 2 3 5 3 2 2" xfId="29590"/>
    <cellStyle name="Percent 2 3 5 3 2 2 2" xfId="29591"/>
    <cellStyle name="Percent 2 3 5 3 2 3" xfId="29592"/>
    <cellStyle name="Percent 2 3 5 3 3" xfId="29593"/>
    <cellStyle name="Percent 2 3 5 3 3 2" xfId="29594"/>
    <cellStyle name="Percent 2 3 5 3 4" xfId="29595"/>
    <cellStyle name="Percent 2 3 5 4" xfId="29596"/>
    <cellStyle name="Percent 2 3 5 4 2" xfId="29597"/>
    <cellStyle name="Percent 2 3 5 4 2 2" xfId="29598"/>
    <cellStyle name="Percent 2 3 5 4 3" xfId="29599"/>
    <cellStyle name="Percent 2 3 5 5" xfId="29600"/>
    <cellStyle name="Percent 2 3 5 5 2" xfId="29601"/>
    <cellStyle name="Percent 2 3 5 5 2 2" xfId="29602"/>
    <cellStyle name="Percent 2 3 5 5 3" xfId="29603"/>
    <cellStyle name="Percent 2 3 5 6" xfId="29604"/>
    <cellStyle name="Percent 2 3 5 6 2" xfId="29605"/>
    <cellStyle name="Percent 2 3 5 7" xfId="29606"/>
    <cellStyle name="Percent 2 3 5 7 2" xfId="37268"/>
    <cellStyle name="Percent 2 3 5 8" xfId="29607"/>
    <cellStyle name="Percent 2 3 6" xfId="29608"/>
    <cellStyle name="Percent 2 3 6 2" xfId="29609"/>
    <cellStyle name="Percent 2 3 6 2 2" xfId="29610"/>
    <cellStyle name="Percent 2 3 6 2 2 2" xfId="29611"/>
    <cellStyle name="Percent 2 3 6 2 2 2 2" xfId="29612"/>
    <cellStyle name="Percent 2 3 6 2 2 2 3" xfId="29613"/>
    <cellStyle name="Percent 2 3 6 2 2 3" xfId="29614"/>
    <cellStyle name="Percent 2 3 6 2 2 3 2" xfId="29615"/>
    <cellStyle name="Percent 2 3 6 2 2 4" xfId="29616"/>
    <cellStyle name="Percent 2 3 6 2 3" xfId="29617"/>
    <cellStyle name="Percent 2 3 6 2 3 2" xfId="29618"/>
    <cellStyle name="Percent 2 3 6 2 3 2 2" xfId="29619"/>
    <cellStyle name="Percent 2 3 6 2 3 3" xfId="29620"/>
    <cellStyle name="Percent 2 3 6 2 4" xfId="29621"/>
    <cellStyle name="Percent 2 3 6 2 4 2" xfId="29622"/>
    <cellStyle name="Percent 2 3 6 2 4 3" xfId="29623"/>
    <cellStyle name="Percent 2 3 6 2 5" xfId="29624"/>
    <cellStyle name="Percent 2 3 6 2 5 2" xfId="29625"/>
    <cellStyle name="Percent 2 3 6 2 6" xfId="29626"/>
    <cellStyle name="Percent 2 3 6 2 6 2" xfId="37269"/>
    <cellStyle name="Percent 2 3 6 2 7" xfId="29627"/>
    <cellStyle name="Percent 2 3 6 3" xfId="29628"/>
    <cellStyle name="Percent 2 3 6 3 2" xfId="29629"/>
    <cellStyle name="Percent 2 3 6 3 2 2" xfId="29630"/>
    <cellStyle name="Percent 2 3 6 3 2 2 2" xfId="29631"/>
    <cellStyle name="Percent 2 3 6 3 2 3" xfId="29632"/>
    <cellStyle name="Percent 2 3 6 3 3" xfId="29633"/>
    <cellStyle name="Percent 2 3 6 3 3 2" xfId="29634"/>
    <cellStyle name="Percent 2 3 6 3 4" xfId="29635"/>
    <cellStyle name="Percent 2 3 6 4" xfId="29636"/>
    <cellStyle name="Percent 2 3 6 4 2" xfId="29637"/>
    <cellStyle name="Percent 2 3 6 4 2 2" xfId="29638"/>
    <cellStyle name="Percent 2 3 6 4 3" xfId="29639"/>
    <cellStyle name="Percent 2 3 6 5" xfId="29640"/>
    <cellStyle name="Percent 2 3 6 5 2" xfId="29641"/>
    <cellStyle name="Percent 2 3 6 5 2 2" xfId="29642"/>
    <cellStyle name="Percent 2 3 6 5 3" xfId="29643"/>
    <cellStyle name="Percent 2 3 6 6" xfId="29644"/>
    <cellStyle name="Percent 2 3 6 6 2" xfId="29645"/>
    <cellStyle name="Percent 2 3 6 7" xfId="29646"/>
    <cellStyle name="Percent 2 3 6 7 2" xfId="37270"/>
    <cellStyle name="Percent 2 3 6 8" xfId="29647"/>
    <cellStyle name="Percent 2 3 7" xfId="29648"/>
    <cellStyle name="Percent 2 3 7 2" xfId="29649"/>
    <cellStyle name="Percent 2 3 7 2 2" xfId="29650"/>
    <cellStyle name="Percent 2 3 7 2 2 2" xfId="29651"/>
    <cellStyle name="Percent 2 3 7 2 2 2 2" xfId="29652"/>
    <cellStyle name="Percent 2 3 7 2 2 2 3" xfId="29653"/>
    <cellStyle name="Percent 2 3 7 2 2 3" xfId="29654"/>
    <cellStyle name="Percent 2 3 7 2 2 3 2" xfId="29655"/>
    <cellStyle name="Percent 2 3 7 2 2 4" xfId="29656"/>
    <cellStyle name="Percent 2 3 7 2 3" xfId="29657"/>
    <cellStyle name="Percent 2 3 7 2 3 2" xfId="29658"/>
    <cellStyle name="Percent 2 3 7 2 3 2 2" xfId="29659"/>
    <cellStyle name="Percent 2 3 7 2 3 3" xfId="29660"/>
    <cellStyle name="Percent 2 3 7 2 4" xfId="29661"/>
    <cellStyle name="Percent 2 3 7 2 4 2" xfId="29662"/>
    <cellStyle name="Percent 2 3 7 2 4 3" xfId="29663"/>
    <cellStyle name="Percent 2 3 7 2 5" xfId="29664"/>
    <cellStyle name="Percent 2 3 7 2 5 2" xfId="29665"/>
    <cellStyle name="Percent 2 3 7 2 6" xfId="29666"/>
    <cellStyle name="Percent 2 3 7 2 6 2" xfId="37271"/>
    <cellStyle name="Percent 2 3 7 2 7" xfId="29667"/>
    <cellStyle name="Percent 2 3 7 3" xfId="29668"/>
    <cellStyle name="Percent 2 3 7 3 2" xfId="29669"/>
    <cellStyle name="Percent 2 3 7 3 2 2" xfId="29670"/>
    <cellStyle name="Percent 2 3 7 3 2 2 2" xfId="29671"/>
    <cellStyle name="Percent 2 3 7 3 2 3" xfId="29672"/>
    <cellStyle name="Percent 2 3 7 3 3" xfId="29673"/>
    <cellStyle name="Percent 2 3 7 3 3 2" xfId="29674"/>
    <cellStyle name="Percent 2 3 7 3 4" xfId="29675"/>
    <cellStyle name="Percent 2 3 7 4" xfId="29676"/>
    <cellStyle name="Percent 2 3 7 4 2" xfId="29677"/>
    <cellStyle name="Percent 2 3 7 4 2 2" xfId="29678"/>
    <cellStyle name="Percent 2 3 7 4 3" xfId="29679"/>
    <cellStyle name="Percent 2 3 7 5" xfId="29680"/>
    <cellStyle name="Percent 2 3 7 5 2" xfId="29681"/>
    <cellStyle name="Percent 2 3 7 5 2 2" xfId="29682"/>
    <cellStyle name="Percent 2 3 7 5 3" xfId="29683"/>
    <cellStyle name="Percent 2 3 7 6" xfId="29684"/>
    <cellStyle name="Percent 2 3 7 6 2" xfId="29685"/>
    <cellStyle name="Percent 2 3 7 7" xfId="29686"/>
    <cellStyle name="Percent 2 3 7 7 2" xfId="37272"/>
    <cellStyle name="Percent 2 3 7 8" xfId="29687"/>
    <cellStyle name="Percent 2 3 8" xfId="29688"/>
    <cellStyle name="Percent 2 3 8 2" xfId="29689"/>
    <cellStyle name="Percent 2 3 8 2 2" xfId="29690"/>
    <cellStyle name="Percent 2 3 8 2 2 2" xfId="29691"/>
    <cellStyle name="Percent 2 3 8 2 2 3" xfId="29692"/>
    <cellStyle name="Percent 2 3 8 2 3" xfId="29693"/>
    <cellStyle name="Percent 2 3 8 2 3 2" xfId="29694"/>
    <cellStyle name="Percent 2 3 8 2 4" xfId="29695"/>
    <cellStyle name="Percent 2 3 8 3" xfId="29696"/>
    <cellStyle name="Percent 2 3 8 3 2" xfId="29697"/>
    <cellStyle name="Percent 2 3 8 3 2 2" xfId="29698"/>
    <cellStyle name="Percent 2 3 8 3 3" xfId="29699"/>
    <cellStyle name="Percent 2 3 8 4" xfId="29700"/>
    <cellStyle name="Percent 2 3 8 4 2" xfId="29701"/>
    <cellStyle name="Percent 2 3 8 4 3" xfId="29702"/>
    <cellStyle name="Percent 2 3 8 5" xfId="29703"/>
    <cellStyle name="Percent 2 3 8 5 2" xfId="29704"/>
    <cellStyle name="Percent 2 3 8 6" xfId="29705"/>
    <cellStyle name="Percent 2 3 8 6 2" xfId="37273"/>
    <cellStyle name="Percent 2 3 8 7" xfId="29706"/>
    <cellStyle name="Percent 2 3 9" xfId="29707"/>
    <cellStyle name="Percent 2 3 9 2" xfId="29708"/>
    <cellStyle name="Percent 2 3 9 2 2" xfId="29709"/>
    <cellStyle name="Percent 2 3 9 2 2 2" xfId="29710"/>
    <cellStyle name="Percent 2 3 9 2 3" xfId="29711"/>
    <cellStyle name="Percent 2 3 9 3" xfId="29712"/>
    <cellStyle name="Percent 2 3 9 3 2" xfId="29713"/>
    <cellStyle name="Percent 2 3 9 4" xfId="29714"/>
    <cellStyle name="Percent 2 4" xfId="29715"/>
    <cellStyle name="Percent 2 4 10" xfId="29716"/>
    <cellStyle name="Percent 2 4 10 2" xfId="29717"/>
    <cellStyle name="Percent 2 4 10 2 2" xfId="29718"/>
    <cellStyle name="Percent 2 4 10 3" xfId="29719"/>
    <cellStyle name="Percent 2 4 11" xfId="29720"/>
    <cellStyle name="Percent 2 4 11 2" xfId="29721"/>
    <cellStyle name="Percent 2 4 11 2 2" xfId="29722"/>
    <cellStyle name="Percent 2 4 11 3" xfId="29723"/>
    <cellStyle name="Percent 2 4 12" xfId="29724"/>
    <cellStyle name="Percent 2 4 12 2" xfId="29725"/>
    <cellStyle name="Percent 2 4 13" xfId="29726"/>
    <cellStyle name="Percent 2 4 13 2" xfId="37274"/>
    <cellStyle name="Percent 2 4 14" xfId="29727"/>
    <cellStyle name="Percent 2 4 2" xfId="29728"/>
    <cellStyle name="Percent 2 4 2 10" xfId="29729"/>
    <cellStyle name="Percent 2 4 2 2" xfId="29730"/>
    <cellStyle name="Percent 2 4 2 2 2" xfId="29731"/>
    <cellStyle name="Percent 2 4 2 2 2 2" xfId="29732"/>
    <cellStyle name="Percent 2 4 2 2 2 2 2" xfId="29733"/>
    <cellStyle name="Percent 2 4 2 2 2 2 2 2" xfId="29734"/>
    <cellStyle name="Percent 2 4 2 2 2 2 2 2 2" xfId="29735"/>
    <cellStyle name="Percent 2 4 2 2 2 2 2 2 3" xfId="29736"/>
    <cellStyle name="Percent 2 4 2 2 2 2 2 3" xfId="29737"/>
    <cellStyle name="Percent 2 4 2 2 2 2 2 3 2" xfId="29738"/>
    <cellStyle name="Percent 2 4 2 2 2 2 2 4" xfId="29739"/>
    <cellStyle name="Percent 2 4 2 2 2 2 3" xfId="29740"/>
    <cellStyle name="Percent 2 4 2 2 2 2 3 2" xfId="29741"/>
    <cellStyle name="Percent 2 4 2 2 2 2 3 2 2" xfId="29742"/>
    <cellStyle name="Percent 2 4 2 2 2 2 3 3" xfId="29743"/>
    <cellStyle name="Percent 2 4 2 2 2 2 4" xfId="29744"/>
    <cellStyle name="Percent 2 4 2 2 2 2 4 2" xfId="29745"/>
    <cellStyle name="Percent 2 4 2 2 2 2 4 3" xfId="29746"/>
    <cellStyle name="Percent 2 4 2 2 2 2 5" xfId="29747"/>
    <cellStyle name="Percent 2 4 2 2 2 2 5 2" xfId="29748"/>
    <cellStyle name="Percent 2 4 2 2 2 2 6" xfId="29749"/>
    <cellStyle name="Percent 2 4 2 2 2 2 6 2" xfId="37275"/>
    <cellStyle name="Percent 2 4 2 2 2 2 7" xfId="29750"/>
    <cellStyle name="Percent 2 4 2 2 2 3" xfId="29751"/>
    <cellStyle name="Percent 2 4 2 2 2 3 2" xfId="29752"/>
    <cellStyle name="Percent 2 4 2 2 2 3 2 2" xfId="29753"/>
    <cellStyle name="Percent 2 4 2 2 2 3 2 2 2" xfId="29754"/>
    <cellStyle name="Percent 2 4 2 2 2 3 2 3" xfId="29755"/>
    <cellStyle name="Percent 2 4 2 2 2 3 3" xfId="29756"/>
    <cellStyle name="Percent 2 4 2 2 2 3 3 2" xfId="29757"/>
    <cellStyle name="Percent 2 4 2 2 2 3 4" xfId="29758"/>
    <cellStyle name="Percent 2 4 2 2 2 4" xfId="29759"/>
    <cellStyle name="Percent 2 4 2 2 2 4 2" xfId="29760"/>
    <cellStyle name="Percent 2 4 2 2 2 4 2 2" xfId="29761"/>
    <cellStyle name="Percent 2 4 2 2 2 4 3" xfId="29762"/>
    <cellStyle name="Percent 2 4 2 2 2 5" xfId="29763"/>
    <cellStyle name="Percent 2 4 2 2 2 5 2" xfId="29764"/>
    <cellStyle name="Percent 2 4 2 2 2 5 2 2" xfId="29765"/>
    <cellStyle name="Percent 2 4 2 2 2 5 3" xfId="29766"/>
    <cellStyle name="Percent 2 4 2 2 2 6" xfId="29767"/>
    <cellStyle name="Percent 2 4 2 2 2 6 2" xfId="29768"/>
    <cellStyle name="Percent 2 4 2 2 2 7" xfId="29769"/>
    <cellStyle name="Percent 2 4 2 2 2 7 2" xfId="37276"/>
    <cellStyle name="Percent 2 4 2 2 2 8" xfId="29770"/>
    <cellStyle name="Percent 2 4 2 2 3" xfId="29771"/>
    <cellStyle name="Percent 2 4 2 2 3 2" xfId="29772"/>
    <cellStyle name="Percent 2 4 2 2 3 2 2" xfId="29773"/>
    <cellStyle name="Percent 2 4 2 2 3 2 2 2" xfId="29774"/>
    <cellStyle name="Percent 2 4 2 2 3 2 2 3" xfId="29775"/>
    <cellStyle name="Percent 2 4 2 2 3 2 3" xfId="29776"/>
    <cellStyle name="Percent 2 4 2 2 3 2 3 2" xfId="29777"/>
    <cellStyle name="Percent 2 4 2 2 3 2 4" xfId="29778"/>
    <cellStyle name="Percent 2 4 2 2 3 3" xfId="29779"/>
    <cellStyle name="Percent 2 4 2 2 3 3 2" xfId="29780"/>
    <cellStyle name="Percent 2 4 2 2 3 3 2 2" xfId="29781"/>
    <cellStyle name="Percent 2 4 2 2 3 3 3" xfId="29782"/>
    <cellStyle name="Percent 2 4 2 2 3 4" xfId="29783"/>
    <cellStyle name="Percent 2 4 2 2 3 4 2" xfId="29784"/>
    <cellStyle name="Percent 2 4 2 2 3 4 3" xfId="29785"/>
    <cellStyle name="Percent 2 4 2 2 3 5" xfId="29786"/>
    <cellStyle name="Percent 2 4 2 2 3 5 2" xfId="29787"/>
    <cellStyle name="Percent 2 4 2 2 3 6" xfId="29788"/>
    <cellStyle name="Percent 2 4 2 2 3 6 2" xfId="37277"/>
    <cellStyle name="Percent 2 4 2 2 3 7" xfId="29789"/>
    <cellStyle name="Percent 2 4 2 2 4" xfId="29790"/>
    <cellStyle name="Percent 2 4 2 2 4 2" xfId="29791"/>
    <cellStyle name="Percent 2 4 2 2 4 2 2" xfId="29792"/>
    <cellStyle name="Percent 2 4 2 2 4 2 2 2" xfId="29793"/>
    <cellStyle name="Percent 2 4 2 2 4 2 3" xfId="29794"/>
    <cellStyle name="Percent 2 4 2 2 4 3" xfId="29795"/>
    <cellStyle name="Percent 2 4 2 2 4 3 2" xfId="29796"/>
    <cellStyle name="Percent 2 4 2 2 4 4" xfId="29797"/>
    <cellStyle name="Percent 2 4 2 2 5" xfId="29798"/>
    <cellStyle name="Percent 2 4 2 2 5 2" xfId="29799"/>
    <cellStyle name="Percent 2 4 2 2 5 2 2" xfId="29800"/>
    <cellStyle name="Percent 2 4 2 2 5 3" xfId="29801"/>
    <cellStyle name="Percent 2 4 2 2 6" xfId="29802"/>
    <cellStyle name="Percent 2 4 2 2 6 2" xfId="29803"/>
    <cellStyle name="Percent 2 4 2 2 6 2 2" xfId="29804"/>
    <cellStyle name="Percent 2 4 2 2 6 3" xfId="29805"/>
    <cellStyle name="Percent 2 4 2 2 7" xfId="29806"/>
    <cellStyle name="Percent 2 4 2 2 7 2" xfId="29807"/>
    <cellStyle name="Percent 2 4 2 2 8" xfId="29808"/>
    <cellStyle name="Percent 2 4 2 2 8 2" xfId="37278"/>
    <cellStyle name="Percent 2 4 2 2 9" xfId="29809"/>
    <cellStyle name="Percent 2 4 2 3" xfId="29810"/>
    <cellStyle name="Percent 2 4 2 3 2" xfId="29811"/>
    <cellStyle name="Percent 2 4 2 3 2 2" xfId="29812"/>
    <cellStyle name="Percent 2 4 2 3 2 2 2" xfId="29813"/>
    <cellStyle name="Percent 2 4 2 3 2 2 2 2" xfId="29814"/>
    <cellStyle name="Percent 2 4 2 3 2 2 2 3" xfId="29815"/>
    <cellStyle name="Percent 2 4 2 3 2 2 3" xfId="29816"/>
    <cellStyle name="Percent 2 4 2 3 2 2 3 2" xfId="29817"/>
    <cellStyle name="Percent 2 4 2 3 2 2 4" xfId="29818"/>
    <cellStyle name="Percent 2 4 2 3 2 3" xfId="29819"/>
    <cellStyle name="Percent 2 4 2 3 2 3 2" xfId="29820"/>
    <cellStyle name="Percent 2 4 2 3 2 3 2 2" xfId="29821"/>
    <cellStyle name="Percent 2 4 2 3 2 3 3" xfId="29822"/>
    <cellStyle name="Percent 2 4 2 3 2 4" xfId="29823"/>
    <cellStyle name="Percent 2 4 2 3 2 4 2" xfId="29824"/>
    <cellStyle name="Percent 2 4 2 3 2 4 3" xfId="29825"/>
    <cellStyle name="Percent 2 4 2 3 2 5" xfId="29826"/>
    <cellStyle name="Percent 2 4 2 3 2 5 2" xfId="29827"/>
    <cellStyle name="Percent 2 4 2 3 2 6" xfId="29828"/>
    <cellStyle name="Percent 2 4 2 3 2 6 2" xfId="37279"/>
    <cellStyle name="Percent 2 4 2 3 2 7" xfId="29829"/>
    <cellStyle name="Percent 2 4 2 3 3" xfId="29830"/>
    <cellStyle name="Percent 2 4 2 3 3 2" xfId="29831"/>
    <cellStyle name="Percent 2 4 2 3 3 2 2" xfId="29832"/>
    <cellStyle name="Percent 2 4 2 3 3 2 2 2" xfId="29833"/>
    <cellStyle name="Percent 2 4 2 3 3 2 3" xfId="29834"/>
    <cellStyle name="Percent 2 4 2 3 3 3" xfId="29835"/>
    <cellStyle name="Percent 2 4 2 3 3 3 2" xfId="29836"/>
    <cellStyle name="Percent 2 4 2 3 3 4" xfId="29837"/>
    <cellStyle name="Percent 2 4 2 3 4" xfId="29838"/>
    <cellStyle name="Percent 2 4 2 3 4 2" xfId="29839"/>
    <cellStyle name="Percent 2 4 2 3 4 2 2" xfId="29840"/>
    <cellStyle name="Percent 2 4 2 3 4 3" xfId="29841"/>
    <cellStyle name="Percent 2 4 2 3 5" xfId="29842"/>
    <cellStyle name="Percent 2 4 2 3 5 2" xfId="29843"/>
    <cellStyle name="Percent 2 4 2 3 5 2 2" xfId="29844"/>
    <cellStyle name="Percent 2 4 2 3 5 3" xfId="29845"/>
    <cellStyle name="Percent 2 4 2 3 6" xfId="29846"/>
    <cellStyle name="Percent 2 4 2 3 6 2" xfId="29847"/>
    <cellStyle name="Percent 2 4 2 3 7" xfId="29848"/>
    <cellStyle name="Percent 2 4 2 3 7 2" xfId="37280"/>
    <cellStyle name="Percent 2 4 2 3 8" xfId="29849"/>
    <cellStyle name="Percent 2 4 2 4" xfId="29850"/>
    <cellStyle name="Percent 2 4 2 4 2" xfId="29851"/>
    <cellStyle name="Percent 2 4 2 4 2 2" xfId="29852"/>
    <cellStyle name="Percent 2 4 2 4 2 2 2" xfId="29853"/>
    <cellStyle name="Percent 2 4 2 4 2 2 3" xfId="29854"/>
    <cellStyle name="Percent 2 4 2 4 2 3" xfId="29855"/>
    <cellStyle name="Percent 2 4 2 4 2 3 2" xfId="29856"/>
    <cellStyle name="Percent 2 4 2 4 2 4" xfId="29857"/>
    <cellStyle name="Percent 2 4 2 4 3" xfId="29858"/>
    <cellStyle name="Percent 2 4 2 4 3 2" xfId="29859"/>
    <cellStyle name="Percent 2 4 2 4 3 2 2" xfId="29860"/>
    <cellStyle name="Percent 2 4 2 4 3 3" xfId="29861"/>
    <cellStyle name="Percent 2 4 2 4 4" xfId="29862"/>
    <cellStyle name="Percent 2 4 2 4 4 2" xfId="29863"/>
    <cellStyle name="Percent 2 4 2 4 4 3" xfId="29864"/>
    <cellStyle name="Percent 2 4 2 4 5" xfId="29865"/>
    <cellStyle name="Percent 2 4 2 4 5 2" xfId="29866"/>
    <cellStyle name="Percent 2 4 2 4 6" xfId="29867"/>
    <cellStyle name="Percent 2 4 2 4 6 2" xfId="37281"/>
    <cellStyle name="Percent 2 4 2 4 7" xfId="29868"/>
    <cellStyle name="Percent 2 4 2 5" xfId="29869"/>
    <cellStyle name="Percent 2 4 2 5 2" xfId="29870"/>
    <cellStyle name="Percent 2 4 2 5 2 2" xfId="29871"/>
    <cellStyle name="Percent 2 4 2 5 2 2 2" xfId="29872"/>
    <cellStyle name="Percent 2 4 2 5 2 3" xfId="29873"/>
    <cellStyle name="Percent 2 4 2 5 3" xfId="29874"/>
    <cellStyle name="Percent 2 4 2 5 3 2" xfId="29875"/>
    <cellStyle name="Percent 2 4 2 5 4" xfId="29876"/>
    <cellStyle name="Percent 2 4 2 6" xfId="29877"/>
    <cellStyle name="Percent 2 4 2 6 2" xfId="29878"/>
    <cellStyle name="Percent 2 4 2 6 2 2" xfId="29879"/>
    <cellStyle name="Percent 2 4 2 6 3" xfId="29880"/>
    <cellStyle name="Percent 2 4 2 7" xfId="29881"/>
    <cellStyle name="Percent 2 4 2 7 2" xfId="29882"/>
    <cellStyle name="Percent 2 4 2 7 2 2" xfId="29883"/>
    <cellStyle name="Percent 2 4 2 7 3" xfId="29884"/>
    <cellStyle name="Percent 2 4 2 8" xfId="29885"/>
    <cellStyle name="Percent 2 4 2 8 2" xfId="29886"/>
    <cellStyle name="Percent 2 4 2 9" xfId="29887"/>
    <cellStyle name="Percent 2 4 2 9 2" xfId="37282"/>
    <cellStyle name="Percent 2 4 3" xfId="29888"/>
    <cellStyle name="Percent 2 4 3 2" xfId="29889"/>
    <cellStyle name="Percent 2 4 3 2 2" xfId="29890"/>
    <cellStyle name="Percent 2 4 3 2 2 2" xfId="29891"/>
    <cellStyle name="Percent 2 4 3 2 2 2 2" xfId="29892"/>
    <cellStyle name="Percent 2 4 3 2 2 2 2 2" xfId="29893"/>
    <cellStyle name="Percent 2 4 3 2 2 2 2 3" xfId="29894"/>
    <cellStyle name="Percent 2 4 3 2 2 2 3" xfId="29895"/>
    <cellStyle name="Percent 2 4 3 2 2 2 3 2" xfId="29896"/>
    <cellStyle name="Percent 2 4 3 2 2 2 4" xfId="29897"/>
    <cellStyle name="Percent 2 4 3 2 2 3" xfId="29898"/>
    <cellStyle name="Percent 2 4 3 2 2 3 2" xfId="29899"/>
    <cellStyle name="Percent 2 4 3 2 2 3 2 2" xfId="29900"/>
    <cellStyle name="Percent 2 4 3 2 2 3 3" xfId="29901"/>
    <cellStyle name="Percent 2 4 3 2 2 4" xfId="29902"/>
    <cellStyle name="Percent 2 4 3 2 2 4 2" xfId="29903"/>
    <cellStyle name="Percent 2 4 3 2 2 4 3" xfId="29904"/>
    <cellStyle name="Percent 2 4 3 2 2 5" xfId="29905"/>
    <cellStyle name="Percent 2 4 3 2 2 5 2" xfId="29906"/>
    <cellStyle name="Percent 2 4 3 2 2 6" xfId="29907"/>
    <cellStyle name="Percent 2 4 3 2 2 6 2" xfId="37283"/>
    <cellStyle name="Percent 2 4 3 2 2 7" xfId="29908"/>
    <cellStyle name="Percent 2 4 3 2 3" xfId="29909"/>
    <cellStyle name="Percent 2 4 3 2 3 2" xfId="29910"/>
    <cellStyle name="Percent 2 4 3 2 3 2 2" xfId="29911"/>
    <cellStyle name="Percent 2 4 3 2 3 2 2 2" xfId="29912"/>
    <cellStyle name="Percent 2 4 3 2 3 2 3" xfId="29913"/>
    <cellStyle name="Percent 2 4 3 2 3 3" xfId="29914"/>
    <cellStyle name="Percent 2 4 3 2 3 3 2" xfId="29915"/>
    <cellStyle name="Percent 2 4 3 2 3 4" xfId="29916"/>
    <cellStyle name="Percent 2 4 3 2 4" xfId="29917"/>
    <cellStyle name="Percent 2 4 3 2 4 2" xfId="29918"/>
    <cellStyle name="Percent 2 4 3 2 4 2 2" xfId="29919"/>
    <cellStyle name="Percent 2 4 3 2 4 3" xfId="29920"/>
    <cellStyle name="Percent 2 4 3 2 5" xfId="29921"/>
    <cellStyle name="Percent 2 4 3 2 5 2" xfId="29922"/>
    <cellStyle name="Percent 2 4 3 2 5 2 2" xfId="29923"/>
    <cellStyle name="Percent 2 4 3 2 5 3" xfId="29924"/>
    <cellStyle name="Percent 2 4 3 2 6" xfId="29925"/>
    <cellStyle name="Percent 2 4 3 2 6 2" xfId="29926"/>
    <cellStyle name="Percent 2 4 3 2 7" xfId="29927"/>
    <cellStyle name="Percent 2 4 3 2 7 2" xfId="37284"/>
    <cellStyle name="Percent 2 4 3 2 8" xfId="29928"/>
    <cellStyle name="Percent 2 4 3 3" xfId="29929"/>
    <cellStyle name="Percent 2 4 3 3 2" xfId="29930"/>
    <cellStyle name="Percent 2 4 3 3 2 2" xfId="29931"/>
    <cellStyle name="Percent 2 4 3 3 2 2 2" xfId="29932"/>
    <cellStyle name="Percent 2 4 3 3 2 2 3" xfId="29933"/>
    <cellStyle name="Percent 2 4 3 3 2 3" xfId="29934"/>
    <cellStyle name="Percent 2 4 3 3 2 3 2" xfId="29935"/>
    <cellStyle name="Percent 2 4 3 3 2 4" xfId="29936"/>
    <cellStyle name="Percent 2 4 3 3 3" xfId="29937"/>
    <cellStyle name="Percent 2 4 3 3 3 2" xfId="29938"/>
    <cellStyle name="Percent 2 4 3 3 3 2 2" xfId="29939"/>
    <cellStyle name="Percent 2 4 3 3 3 3" xfId="29940"/>
    <cellStyle name="Percent 2 4 3 3 4" xfId="29941"/>
    <cellStyle name="Percent 2 4 3 3 4 2" xfId="29942"/>
    <cellStyle name="Percent 2 4 3 3 4 3" xfId="29943"/>
    <cellStyle name="Percent 2 4 3 3 5" xfId="29944"/>
    <cellStyle name="Percent 2 4 3 3 5 2" xfId="29945"/>
    <cellStyle name="Percent 2 4 3 3 6" xfId="29946"/>
    <cellStyle name="Percent 2 4 3 3 6 2" xfId="37285"/>
    <cellStyle name="Percent 2 4 3 3 7" xfId="29947"/>
    <cellStyle name="Percent 2 4 3 4" xfId="29948"/>
    <cellStyle name="Percent 2 4 3 4 2" xfId="29949"/>
    <cellStyle name="Percent 2 4 3 4 2 2" xfId="29950"/>
    <cellStyle name="Percent 2 4 3 4 2 2 2" xfId="29951"/>
    <cellStyle name="Percent 2 4 3 4 2 3" xfId="29952"/>
    <cellStyle name="Percent 2 4 3 4 3" xfId="29953"/>
    <cellStyle name="Percent 2 4 3 4 3 2" xfId="29954"/>
    <cellStyle name="Percent 2 4 3 4 4" xfId="29955"/>
    <cellStyle name="Percent 2 4 3 5" xfId="29956"/>
    <cellStyle name="Percent 2 4 3 5 2" xfId="29957"/>
    <cellStyle name="Percent 2 4 3 5 2 2" xfId="29958"/>
    <cellStyle name="Percent 2 4 3 5 3" xfId="29959"/>
    <cellStyle name="Percent 2 4 3 6" xfId="29960"/>
    <cellStyle name="Percent 2 4 3 6 2" xfId="29961"/>
    <cellStyle name="Percent 2 4 3 6 2 2" xfId="29962"/>
    <cellStyle name="Percent 2 4 3 6 3" xfId="29963"/>
    <cellStyle name="Percent 2 4 3 7" xfId="29964"/>
    <cellStyle name="Percent 2 4 3 7 2" xfId="29965"/>
    <cellStyle name="Percent 2 4 3 8" xfId="29966"/>
    <cellStyle name="Percent 2 4 3 8 2" xfId="37286"/>
    <cellStyle name="Percent 2 4 3 9" xfId="29967"/>
    <cellStyle name="Percent 2 4 4" xfId="29968"/>
    <cellStyle name="Percent 2 4 4 2" xfId="29969"/>
    <cellStyle name="Percent 2 4 4 2 2" xfId="29970"/>
    <cellStyle name="Percent 2 4 4 2 2 2" xfId="29971"/>
    <cellStyle name="Percent 2 4 4 2 2 2 2" xfId="29972"/>
    <cellStyle name="Percent 2 4 4 2 2 2 2 2" xfId="29973"/>
    <cellStyle name="Percent 2 4 4 2 2 2 2 3" xfId="29974"/>
    <cellStyle name="Percent 2 4 4 2 2 2 3" xfId="29975"/>
    <cellStyle name="Percent 2 4 4 2 2 2 3 2" xfId="29976"/>
    <cellStyle name="Percent 2 4 4 2 2 2 4" xfId="29977"/>
    <cellStyle name="Percent 2 4 4 2 2 3" xfId="29978"/>
    <cellStyle name="Percent 2 4 4 2 2 3 2" xfId="29979"/>
    <cellStyle name="Percent 2 4 4 2 2 3 2 2" xfId="29980"/>
    <cellStyle name="Percent 2 4 4 2 2 3 3" xfId="29981"/>
    <cellStyle name="Percent 2 4 4 2 2 4" xfId="29982"/>
    <cellStyle name="Percent 2 4 4 2 2 4 2" xfId="29983"/>
    <cellStyle name="Percent 2 4 4 2 2 4 3" xfId="29984"/>
    <cellStyle name="Percent 2 4 4 2 2 5" xfId="29985"/>
    <cellStyle name="Percent 2 4 4 2 2 5 2" xfId="29986"/>
    <cellStyle name="Percent 2 4 4 2 2 6" xfId="29987"/>
    <cellStyle name="Percent 2 4 4 2 2 6 2" xfId="37287"/>
    <cellStyle name="Percent 2 4 4 2 2 7" xfId="29988"/>
    <cellStyle name="Percent 2 4 4 2 3" xfId="29989"/>
    <cellStyle name="Percent 2 4 4 2 3 2" xfId="29990"/>
    <cellStyle name="Percent 2 4 4 2 3 2 2" xfId="29991"/>
    <cellStyle name="Percent 2 4 4 2 3 2 2 2" xfId="29992"/>
    <cellStyle name="Percent 2 4 4 2 3 2 3" xfId="29993"/>
    <cellStyle name="Percent 2 4 4 2 3 3" xfId="29994"/>
    <cellStyle name="Percent 2 4 4 2 3 3 2" xfId="29995"/>
    <cellStyle name="Percent 2 4 4 2 3 4" xfId="29996"/>
    <cellStyle name="Percent 2 4 4 2 4" xfId="29997"/>
    <cellStyle name="Percent 2 4 4 2 4 2" xfId="29998"/>
    <cellStyle name="Percent 2 4 4 2 4 2 2" xfId="29999"/>
    <cellStyle name="Percent 2 4 4 2 4 3" xfId="30000"/>
    <cellStyle name="Percent 2 4 4 2 5" xfId="30001"/>
    <cellStyle name="Percent 2 4 4 2 5 2" xfId="30002"/>
    <cellStyle name="Percent 2 4 4 2 5 2 2" xfId="30003"/>
    <cellStyle name="Percent 2 4 4 2 5 3" xfId="30004"/>
    <cellStyle name="Percent 2 4 4 2 6" xfId="30005"/>
    <cellStyle name="Percent 2 4 4 2 6 2" xfId="30006"/>
    <cellStyle name="Percent 2 4 4 2 7" xfId="30007"/>
    <cellStyle name="Percent 2 4 4 2 7 2" xfId="37288"/>
    <cellStyle name="Percent 2 4 4 2 8" xfId="30008"/>
    <cellStyle name="Percent 2 4 4 3" xfId="30009"/>
    <cellStyle name="Percent 2 4 4 3 2" xfId="30010"/>
    <cellStyle name="Percent 2 4 4 3 2 2" xfId="30011"/>
    <cellStyle name="Percent 2 4 4 3 2 2 2" xfId="30012"/>
    <cellStyle name="Percent 2 4 4 3 2 2 3" xfId="30013"/>
    <cellStyle name="Percent 2 4 4 3 2 3" xfId="30014"/>
    <cellStyle name="Percent 2 4 4 3 2 3 2" xfId="30015"/>
    <cellStyle name="Percent 2 4 4 3 2 4" xfId="30016"/>
    <cellStyle name="Percent 2 4 4 3 3" xfId="30017"/>
    <cellStyle name="Percent 2 4 4 3 3 2" xfId="30018"/>
    <cellStyle name="Percent 2 4 4 3 3 2 2" xfId="30019"/>
    <cellStyle name="Percent 2 4 4 3 3 3" xfId="30020"/>
    <cellStyle name="Percent 2 4 4 3 4" xfId="30021"/>
    <cellStyle name="Percent 2 4 4 3 4 2" xfId="30022"/>
    <cellStyle name="Percent 2 4 4 3 4 3" xfId="30023"/>
    <cellStyle name="Percent 2 4 4 3 5" xfId="30024"/>
    <cellStyle name="Percent 2 4 4 3 5 2" xfId="30025"/>
    <cellStyle name="Percent 2 4 4 3 6" xfId="30026"/>
    <cellStyle name="Percent 2 4 4 3 6 2" xfId="37289"/>
    <cellStyle name="Percent 2 4 4 3 7" xfId="30027"/>
    <cellStyle name="Percent 2 4 4 4" xfId="30028"/>
    <cellStyle name="Percent 2 4 4 4 2" xfId="30029"/>
    <cellStyle name="Percent 2 4 4 4 2 2" xfId="30030"/>
    <cellStyle name="Percent 2 4 4 4 2 2 2" xfId="30031"/>
    <cellStyle name="Percent 2 4 4 4 2 3" xfId="30032"/>
    <cellStyle name="Percent 2 4 4 4 3" xfId="30033"/>
    <cellStyle name="Percent 2 4 4 4 3 2" xfId="30034"/>
    <cellStyle name="Percent 2 4 4 4 4" xfId="30035"/>
    <cellStyle name="Percent 2 4 4 5" xfId="30036"/>
    <cellStyle name="Percent 2 4 4 5 2" xfId="30037"/>
    <cellStyle name="Percent 2 4 4 5 2 2" xfId="30038"/>
    <cellStyle name="Percent 2 4 4 5 3" xfId="30039"/>
    <cellStyle name="Percent 2 4 4 6" xfId="30040"/>
    <cellStyle name="Percent 2 4 4 6 2" xfId="30041"/>
    <cellStyle name="Percent 2 4 4 6 2 2" xfId="30042"/>
    <cellStyle name="Percent 2 4 4 6 3" xfId="30043"/>
    <cellStyle name="Percent 2 4 4 7" xfId="30044"/>
    <cellStyle name="Percent 2 4 4 7 2" xfId="30045"/>
    <cellStyle name="Percent 2 4 4 8" xfId="30046"/>
    <cellStyle name="Percent 2 4 4 8 2" xfId="37290"/>
    <cellStyle name="Percent 2 4 4 9" xfId="30047"/>
    <cellStyle name="Percent 2 4 5" xfId="30048"/>
    <cellStyle name="Percent 2 4 5 2" xfId="30049"/>
    <cellStyle name="Percent 2 4 5 2 2" xfId="30050"/>
    <cellStyle name="Percent 2 4 5 2 2 2" xfId="30051"/>
    <cellStyle name="Percent 2 4 5 2 2 2 2" xfId="30052"/>
    <cellStyle name="Percent 2 4 5 2 2 2 3" xfId="30053"/>
    <cellStyle name="Percent 2 4 5 2 2 3" xfId="30054"/>
    <cellStyle name="Percent 2 4 5 2 2 3 2" xfId="30055"/>
    <cellStyle name="Percent 2 4 5 2 2 4" xfId="30056"/>
    <cellStyle name="Percent 2 4 5 2 3" xfId="30057"/>
    <cellStyle name="Percent 2 4 5 2 3 2" xfId="30058"/>
    <cellStyle name="Percent 2 4 5 2 3 2 2" xfId="30059"/>
    <cellStyle name="Percent 2 4 5 2 3 3" xfId="30060"/>
    <cellStyle name="Percent 2 4 5 2 4" xfId="30061"/>
    <cellStyle name="Percent 2 4 5 2 4 2" xfId="30062"/>
    <cellStyle name="Percent 2 4 5 2 4 3" xfId="30063"/>
    <cellStyle name="Percent 2 4 5 2 5" xfId="30064"/>
    <cellStyle name="Percent 2 4 5 2 5 2" xfId="30065"/>
    <cellStyle name="Percent 2 4 5 2 6" xfId="30066"/>
    <cellStyle name="Percent 2 4 5 2 6 2" xfId="37291"/>
    <cellStyle name="Percent 2 4 5 2 7" xfId="30067"/>
    <cellStyle name="Percent 2 4 5 3" xfId="30068"/>
    <cellStyle name="Percent 2 4 5 3 2" xfId="30069"/>
    <cellStyle name="Percent 2 4 5 3 2 2" xfId="30070"/>
    <cellStyle name="Percent 2 4 5 3 2 2 2" xfId="30071"/>
    <cellStyle name="Percent 2 4 5 3 2 3" xfId="30072"/>
    <cellStyle name="Percent 2 4 5 3 3" xfId="30073"/>
    <cellStyle name="Percent 2 4 5 3 3 2" xfId="30074"/>
    <cellStyle name="Percent 2 4 5 3 4" xfId="30075"/>
    <cellStyle name="Percent 2 4 5 4" xfId="30076"/>
    <cellStyle name="Percent 2 4 5 4 2" xfId="30077"/>
    <cellStyle name="Percent 2 4 5 4 2 2" xfId="30078"/>
    <cellStyle name="Percent 2 4 5 4 3" xfId="30079"/>
    <cellStyle name="Percent 2 4 5 5" xfId="30080"/>
    <cellStyle name="Percent 2 4 5 5 2" xfId="30081"/>
    <cellStyle name="Percent 2 4 5 5 2 2" xfId="30082"/>
    <cellStyle name="Percent 2 4 5 5 3" xfId="30083"/>
    <cellStyle name="Percent 2 4 5 6" xfId="30084"/>
    <cellStyle name="Percent 2 4 5 6 2" xfId="30085"/>
    <cellStyle name="Percent 2 4 5 7" xfId="30086"/>
    <cellStyle name="Percent 2 4 5 7 2" xfId="37292"/>
    <cellStyle name="Percent 2 4 5 8" xfId="30087"/>
    <cellStyle name="Percent 2 4 6" xfId="30088"/>
    <cellStyle name="Percent 2 4 6 2" xfId="30089"/>
    <cellStyle name="Percent 2 4 6 2 2" xfId="30090"/>
    <cellStyle name="Percent 2 4 6 2 2 2" xfId="30091"/>
    <cellStyle name="Percent 2 4 6 2 2 2 2" xfId="30092"/>
    <cellStyle name="Percent 2 4 6 2 2 2 3" xfId="30093"/>
    <cellStyle name="Percent 2 4 6 2 2 3" xfId="30094"/>
    <cellStyle name="Percent 2 4 6 2 2 3 2" xfId="30095"/>
    <cellStyle name="Percent 2 4 6 2 2 4" xfId="30096"/>
    <cellStyle name="Percent 2 4 6 2 3" xfId="30097"/>
    <cellStyle name="Percent 2 4 6 2 3 2" xfId="30098"/>
    <cellStyle name="Percent 2 4 6 2 3 2 2" xfId="30099"/>
    <cellStyle name="Percent 2 4 6 2 3 3" xfId="30100"/>
    <cellStyle name="Percent 2 4 6 2 4" xfId="30101"/>
    <cellStyle name="Percent 2 4 6 2 4 2" xfId="30102"/>
    <cellStyle name="Percent 2 4 6 2 4 3" xfId="30103"/>
    <cellStyle name="Percent 2 4 6 2 5" xfId="30104"/>
    <cellStyle name="Percent 2 4 6 2 5 2" xfId="30105"/>
    <cellStyle name="Percent 2 4 6 2 6" xfId="30106"/>
    <cellStyle name="Percent 2 4 6 2 6 2" xfId="37293"/>
    <cellStyle name="Percent 2 4 6 2 7" xfId="30107"/>
    <cellStyle name="Percent 2 4 6 3" xfId="30108"/>
    <cellStyle name="Percent 2 4 6 3 2" xfId="30109"/>
    <cellStyle name="Percent 2 4 6 3 2 2" xfId="30110"/>
    <cellStyle name="Percent 2 4 6 3 2 2 2" xfId="30111"/>
    <cellStyle name="Percent 2 4 6 3 2 3" xfId="30112"/>
    <cellStyle name="Percent 2 4 6 3 3" xfId="30113"/>
    <cellStyle name="Percent 2 4 6 3 3 2" xfId="30114"/>
    <cellStyle name="Percent 2 4 6 3 4" xfId="30115"/>
    <cellStyle name="Percent 2 4 6 4" xfId="30116"/>
    <cellStyle name="Percent 2 4 6 4 2" xfId="30117"/>
    <cellStyle name="Percent 2 4 6 4 2 2" xfId="30118"/>
    <cellStyle name="Percent 2 4 6 4 3" xfId="30119"/>
    <cellStyle name="Percent 2 4 6 5" xfId="30120"/>
    <cellStyle name="Percent 2 4 6 5 2" xfId="30121"/>
    <cellStyle name="Percent 2 4 6 5 2 2" xfId="30122"/>
    <cellStyle name="Percent 2 4 6 5 3" xfId="30123"/>
    <cellStyle name="Percent 2 4 6 6" xfId="30124"/>
    <cellStyle name="Percent 2 4 6 6 2" xfId="30125"/>
    <cellStyle name="Percent 2 4 6 7" xfId="30126"/>
    <cellStyle name="Percent 2 4 6 7 2" xfId="37294"/>
    <cellStyle name="Percent 2 4 6 8" xfId="30127"/>
    <cellStyle name="Percent 2 4 7" xfId="30128"/>
    <cellStyle name="Percent 2 4 7 2" xfId="30129"/>
    <cellStyle name="Percent 2 4 7 2 2" xfId="30130"/>
    <cellStyle name="Percent 2 4 7 2 2 2" xfId="30131"/>
    <cellStyle name="Percent 2 4 7 2 2 2 2" xfId="30132"/>
    <cellStyle name="Percent 2 4 7 2 2 2 3" xfId="30133"/>
    <cellStyle name="Percent 2 4 7 2 2 3" xfId="30134"/>
    <cellStyle name="Percent 2 4 7 2 2 3 2" xfId="30135"/>
    <cellStyle name="Percent 2 4 7 2 2 4" xfId="30136"/>
    <cellStyle name="Percent 2 4 7 2 3" xfId="30137"/>
    <cellStyle name="Percent 2 4 7 2 3 2" xfId="30138"/>
    <cellStyle name="Percent 2 4 7 2 3 2 2" xfId="30139"/>
    <cellStyle name="Percent 2 4 7 2 3 3" xfId="30140"/>
    <cellStyle name="Percent 2 4 7 2 4" xfId="30141"/>
    <cellStyle name="Percent 2 4 7 2 4 2" xfId="30142"/>
    <cellStyle name="Percent 2 4 7 2 4 3" xfId="30143"/>
    <cellStyle name="Percent 2 4 7 2 5" xfId="30144"/>
    <cellStyle name="Percent 2 4 7 2 5 2" xfId="30145"/>
    <cellStyle name="Percent 2 4 7 2 6" xfId="30146"/>
    <cellStyle name="Percent 2 4 7 2 6 2" xfId="37295"/>
    <cellStyle name="Percent 2 4 7 2 7" xfId="30147"/>
    <cellStyle name="Percent 2 4 7 3" xfId="30148"/>
    <cellStyle name="Percent 2 4 7 3 2" xfId="30149"/>
    <cellStyle name="Percent 2 4 7 3 2 2" xfId="30150"/>
    <cellStyle name="Percent 2 4 7 3 2 2 2" xfId="30151"/>
    <cellStyle name="Percent 2 4 7 3 2 3" xfId="30152"/>
    <cellStyle name="Percent 2 4 7 3 3" xfId="30153"/>
    <cellStyle name="Percent 2 4 7 3 3 2" xfId="30154"/>
    <cellStyle name="Percent 2 4 7 3 4" xfId="30155"/>
    <cellStyle name="Percent 2 4 7 4" xfId="30156"/>
    <cellStyle name="Percent 2 4 7 4 2" xfId="30157"/>
    <cellStyle name="Percent 2 4 7 4 2 2" xfId="30158"/>
    <cellStyle name="Percent 2 4 7 4 3" xfId="30159"/>
    <cellStyle name="Percent 2 4 7 5" xfId="30160"/>
    <cellStyle name="Percent 2 4 7 5 2" xfId="30161"/>
    <cellStyle name="Percent 2 4 7 5 2 2" xfId="30162"/>
    <cellStyle name="Percent 2 4 7 5 3" xfId="30163"/>
    <cellStyle name="Percent 2 4 7 6" xfId="30164"/>
    <cellStyle name="Percent 2 4 7 6 2" xfId="30165"/>
    <cellStyle name="Percent 2 4 7 7" xfId="30166"/>
    <cellStyle name="Percent 2 4 7 7 2" xfId="37296"/>
    <cellStyle name="Percent 2 4 7 8" xfId="30167"/>
    <cellStyle name="Percent 2 4 8" xfId="30168"/>
    <cellStyle name="Percent 2 4 8 2" xfId="30169"/>
    <cellStyle name="Percent 2 4 8 2 2" xfId="30170"/>
    <cellStyle name="Percent 2 4 8 2 2 2" xfId="30171"/>
    <cellStyle name="Percent 2 4 8 2 2 3" xfId="30172"/>
    <cellStyle name="Percent 2 4 8 2 3" xfId="30173"/>
    <cellStyle name="Percent 2 4 8 2 3 2" xfId="30174"/>
    <cellStyle name="Percent 2 4 8 2 4" xfId="30175"/>
    <cellStyle name="Percent 2 4 8 3" xfId="30176"/>
    <cellStyle name="Percent 2 4 8 3 2" xfId="30177"/>
    <cellStyle name="Percent 2 4 8 3 2 2" xfId="30178"/>
    <cellStyle name="Percent 2 4 8 3 3" xfId="30179"/>
    <cellStyle name="Percent 2 4 8 4" xfId="30180"/>
    <cellStyle name="Percent 2 4 8 4 2" xfId="30181"/>
    <cellStyle name="Percent 2 4 8 4 3" xfId="30182"/>
    <cellStyle name="Percent 2 4 8 5" xfId="30183"/>
    <cellStyle name="Percent 2 4 8 5 2" xfId="30184"/>
    <cellStyle name="Percent 2 4 8 6" xfId="30185"/>
    <cellStyle name="Percent 2 4 8 6 2" xfId="37297"/>
    <cellStyle name="Percent 2 4 8 7" xfId="30186"/>
    <cellStyle name="Percent 2 4 9" xfId="30187"/>
    <cellStyle name="Percent 2 4 9 2" xfId="30188"/>
    <cellStyle name="Percent 2 4 9 2 2" xfId="30189"/>
    <cellStyle name="Percent 2 4 9 2 2 2" xfId="30190"/>
    <cellStyle name="Percent 2 4 9 2 3" xfId="30191"/>
    <cellStyle name="Percent 2 4 9 3" xfId="30192"/>
    <cellStyle name="Percent 2 4 9 3 2" xfId="30193"/>
    <cellStyle name="Percent 2 4 9 4" xfId="30194"/>
    <cellStyle name="Percent 2 5" xfId="30195"/>
    <cellStyle name="Percent 2 5 10" xfId="30196"/>
    <cellStyle name="Percent 2 5 10 2" xfId="30197"/>
    <cellStyle name="Percent 2 5 10 2 2" xfId="30198"/>
    <cellStyle name="Percent 2 5 10 3" xfId="30199"/>
    <cellStyle name="Percent 2 5 11" xfId="30200"/>
    <cellStyle name="Percent 2 5 11 2" xfId="30201"/>
    <cellStyle name="Percent 2 5 11 2 2" xfId="30202"/>
    <cellStyle name="Percent 2 5 11 3" xfId="30203"/>
    <cellStyle name="Percent 2 5 12" xfId="30204"/>
    <cellStyle name="Percent 2 5 12 2" xfId="30205"/>
    <cellStyle name="Percent 2 5 13" xfId="30206"/>
    <cellStyle name="Percent 2 5 13 2" xfId="37298"/>
    <cellStyle name="Percent 2 5 14" xfId="30207"/>
    <cellStyle name="Percent 2 5 2" xfId="30208"/>
    <cellStyle name="Percent 2 5 2 10" xfId="30209"/>
    <cellStyle name="Percent 2 5 2 2" xfId="30210"/>
    <cellStyle name="Percent 2 5 2 2 2" xfId="30211"/>
    <cellStyle name="Percent 2 5 2 2 2 2" xfId="30212"/>
    <cellStyle name="Percent 2 5 2 2 2 2 2" xfId="30213"/>
    <cellStyle name="Percent 2 5 2 2 2 2 2 2" xfId="30214"/>
    <cellStyle name="Percent 2 5 2 2 2 2 2 2 2" xfId="30215"/>
    <cellStyle name="Percent 2 5 2 2 2 2 2 2 3" xfId="30216"/>
    <cellStyle name="Percent 2 5 2 2 2 2 2 3" xfId="30217"/>
    <cellStyle name="Percent 2 5 2 2 2 2 2 3 2" xfId="30218"/>
    <cellStyle name="Percent 2 5 2 2 2 2 2 4" xfId="30219"/>
    <cellStyle name="Percent 2 5 2 2 2 2 3" xfId="30220"/>
    <cellStyle name="Percent 2 5 2 2 2 2 3 2" xfId="30221"/>
    <cellStyle name="Percent 2 5 2 2 2 2 3 2 2" xfId="30222"/>
    <cellStyle name="Percent 2 5 2 2 2 2 3 3" xfId="30223"/>
    <cellStyle name="Percent 2 5 2 2 2 2 4" xfId="30224"/>
    <cellStyle name="Percent 2 5 2 2 2 2 4 2" xfId="30225"/>
    <cellStyle name="Percent 2 5 2 2 2 2 4 3" xfId="30226"/>
    <cellStyle name="Percent 2 5 2 2 2 2 5" xfId="30227"/>
    <cellStyle name="Percent 2 5 2 2 2 2 5 2" xfId="30228"/>
    <cellStyle name="Percent 2 5 2 2 2 2 6" xfId="30229"/>
    <cellStyle name="Percent 2 5 2 2 2 2 6 2" xfId="37299"/>
    <cellStyle name="Percent 2 5 2 2 2 2 7" xfId="30230"/>
    <cellStyle name="Percent 2 5 2 2 2 3" xfId="30231"/>
    <cellStyle name="Percent 2 5 2 2 2 3 2" xfId="30232"/>
    <cellStyle name="Percent 2 5 2 2 2 3 2 2" xfId="30233"/>
    <cellStyle name="Percent 2 5 2 2 2 3 2 2 2" xfId="30234"/>
    <cellStyle name="Percent 2 5 2 2 2 3 2 3" xfId="30235"/>
    <cellStyle name="Percent 2 5 2 2 2 3 3" xfId="30236"/>
    <cellStyle name="Percent 2 5 2 2 2 3 3 2" xfId="30237"/>
    <cellStyle name="Percent 2 5 2 2 2 3 4" xfId="30238"/>
    <cellStyle name="Percent 2 5 2 2 2 4" xfId="30239"/>
    <cellStyle name="Percent 2 5 2 2 2 4 2" xfId="30240"/>
    <cellStyle name="Percent 2 5 2 2 2 4 2 2" xfId="30241"/>
    <cellStyle name="Percent 2 5 2 2 2 4 3" xfId="30242"/>
    <cellStyle name="Percent 2 5 2 2 2 5" xfId="30243"/>
    <cellStyle name="Percent 2 5 2 2 2 5 2" xfId="30244"/>
    <cellStyle name="Percent 2 5 2 2 2 5 2 2" xfId="30245"/>
    <cellStyle name="Percent 2 5 2 2 2 5 3" xfId="30246"/>
    <cellStyle name="Percent 2 5 2 2 2 6" xfId="30247"/>
    <cellStyle name="Percent 2 5 2 2 2 6 2" xfId="30248"/>
    <cellStyle name="Percent 2 5 2 2 2 7" xfId="30249"/>
    <cellStyle name="Percent 2 5 2 2 2 7 2" xfId="37300"/>
    <cellStyle name="Percent 2 5 2 2 2 8" xfId="30250"/>
    <cellStyle name="Percent 2 5 2 2 3" xfId="30251"/>
    <cellStyle name="Percent 2 5 2 2 3 2" xfId="30252"/>
    <cellStyle name="Percent 2 5 2 2 3 2 2" xfId="30253"/>
    <cellStyle name="Percent 2 5 2 2 3 2 2 2" xfId="30254"/>
    <cellStyle name="Percent 2 5 2 2 3 2 2 3" xfId="30255"/>
    <cellStyle name="Percent 2 5 2 2 3 2 3" xfId="30256"/>
    <cellStyle name="Percent 2 5 2 2 3 2 3 2" xfId="30257"/>
    <cellStyle name="Percent 2 5 2 2 3 2 4" xfId="30258"/>
    <cellStyle name="Percent 2 5 2 2 3 3" xfId="30259"/>
    <cellStyle name="Percent 2 5 2 2 3 3 2" xfId="30260"/>
    <cellStyle name="Percent 2 5 2 2 3 3 2 2" xfId="30261"/>
    <cellStyle name="Percent 2 5 2 2 3 3 3" xfId="30262"/>
    <cellStyle name="Percent 2 5 2 2 3 4" xfId="30263"/>
    <cellStyle name="Percent 2 5 2 2 3 4 2" xfId="30264"/>
    <cellStyle name="Percent 2 5 2 2 3 4 3" xfId="30265"/>
    <cellStyle name="Percent 2 5 2 2 3 5" xfId="30266"/>
    <cellStyle name="Percent 2 5 2 2 3 5 2" xfId="30267"/>
    <cellStyle name="Percent 2 5 2 2 3 6" xfId="30268"/>
    <cellStyle name="Percent 2 5 2 2 3 6 2" xfId="37301"/>
    <cellStyle name="Percent 2 5 2 2 3 7" xfId="30269"/>
    <cellStyle name="Percent 2 5 2 2 4" xfId="30270"/>
    <cellStyle name="Percent 2 5 2 2 4 2" xfId="30271"/>
    <cellStyle name="Percent 2 5 2 2 4 2 2" xfId="30272"/>
    <cellStyle name="Percent 2 5 2 2 4 2 2 2" xfId="30273"/>
    <cellStyle name="Percent 2 5 2 2 4 2 3" xfId="30274"/>
    <cellStyle name="Percent 2 5 2 2 4 3" xfId="30275"/>
    <cellStyle name="Percent 2 5 2 2 4 3 2" xfId="30276"/>
    <cellStyle name="Percent 2 5 2 2 4 4" xfId="30277"/>
    <cellStyle name="Percent 2 5 2 2 5" xfId="30278"/>
    <cellStyle name="Percent 2 5 2 2 5 2" xfId="30279"/>
    <cellStyle name="Percent 2 5 2 2 5 2 2" xfId="30280"/>
    <cellStyle name="Percent 2 5 2 2 5 3" xfId="30281"/>
    <cellStyle name="Percent 2 5 2 2 6" xfId="30282"/>
    <cellStyle name="Percent 2 5 2 2 6 2" xfId="30283"/>
    <cellStyle name="Percent 2 5 2 2 6 2 2" xfId="30284"/>
    <cellStyle name="Percent 2 5 2 2 6 3" xfId="30285"/>
    <cellStyle name="Percent 2 5 2 2 7" xfId="30286"/>
    <cellStyle name="Percent 2 5 2 2 7 2" xfId="30287"/>
    <cellStyle name="Percent 2 5 2 2 8" xfId="30288"/>
    <cellStyle name="Percent 2 5 2 2 8 2" xfId="37302"/>
    <cellStyle name="Percent 2 5 2 2 9" xfId="30289"/>
    <cellStyle name="Percent 2 5 2 3" xfId="30290"/>
    <cellStyle name="Percent 2 5 2 3 2" xfId="30291"/>
    <cellStyle name="Percent 2 5 2 3 2 2" xfId="30292"/>
    <cellStyle name="Percent 2 5 2 3 2 2 2" xfId="30293"/>
    <cellStyle name="Percent 2 5 2 3 2 2 2 2" xfId="30294"/>
    <cellStyle name="Percent 2 5 2 3 2 2 2 3" xfId="30295"/>
    <cellStyle name="Percent 2 5 2 3 2 2 3" xfId="30296"/>
    <cellStyle name="Percent 2 5 2 3 2 2 3 2" xfId="30297"/>
    <cellStyle name="Percent 2 5 2 3 2 2 4" xfId="30298"/>
    <cellStyle name="Percent 2 5 2 3 2 3" xfId="30299"/>
    <cellStyle name="Percent 2 5 2 3 2 3 2" xfId="30300"/>
    <cellStyle name="Percent 2 5 2 3 2 3 2 2" xfId="30301"/>
    <cellStyle name="Percent 2 5 2 3 2 3 3" xfId="30302"/>
    <cellStyle name="Percent 2 5 2 3 2 4" xfId="30303"/>
    <cellStyle name="Percent 2 5 2 3 2 4 2" xfId="30304"/>
    <cellStyle name="Percent 2 5 2 3 2 4 3" xfId="30305"/>
    <cellStyle name="Percent 2 5 2 3 2 5" xfId="30306"/>
    <cellStyle name="Percent 2 5 2 3 2 5 2" xfId="30307"/>
    <cellStyle name="Percent 2 5 2 3 2 6" xfId="30308"/>
    <cellStyle name="Percent 2 5 2 3 2 6 2" xfId="37303"/>
    <cellStyle name="Percent 2 5 2 3 2 7" xfId="30309"/>
    <cellStyle name="Percent 2 5 2 3 3" xfId="30310"/>
    <cellStyle name="Percent 2 5 2 3 3 2" xfId="30311"/>
    <cellStyle name="Percent 2 5 2 3 3 2 2" xfId="30312"/>
    <cellStyle name="Percent 2 5 2 3 3 2 2 2" xfId="30313"/>
    <cellStyle name="Percent 2 5 2 3 3 2 3" xfId="30314"/>
    <cellStyle name="Percent 2 5 2 3 3 3" xfId="30315"/>
    <cellStyle name="Percent 2 5 2 3 3 3 2" xfId="30316"/>
    <cellStyle name="Percent 2 5 2 3 3 4" xfId="30317"/>
    <cellStyle name="Percent 2 5 2 3 4" xfId="30318"/>
    <cellStyle name="Percent 2 5 2 3 4 2" xfId="30319"/>
    <cellStyle name="Percent 2 5 2 3 4 2 2" xfId="30320"/>
    <cellStyle name="Percent 2 5 2 3 4 3" xfId="30321"/>
    <cellStyle name="Percent 2 5 2 3 5" xfId="30322"/>
    <cellStyle name="Percent 2 5 2 3 5 2" xfId="30323"/>
    <cellStyle name="Percent 2 5 2 3 5 2 2" xfId="30324"/>
    <cellStyle name="Percent 2 5 2 3 5 3" xfId="30325"/>
    <cellStyle name="Percent 2 5 2 3 6" xfId="30326"/>
    <cellStyle name="Percent 2 5 2 3 6 2" xfId="30327"/>
    <cellStyle name="Percent 2 5 2 3 7" xfId="30328"/>
    <cellStyle name="Percent 2 5 2 3 7 2" xfId="37304"/>
    <cellStyle name="Percent 2 5 2 3 8" xfId="30329"/>
    <cellStyle name="Percent 2 5 2 4" xfId="30330"/>
    <cellStyle name="Percent 2 5 2 4 2" xfId="30331"/>
    <cellStyle name="Percent 2 5 2 4 2 2" xfId="30332"/>
    <cellStyle name="Percent 2 5 2 4 2 2 2" xfId="30333"/>
    <cellStyle name="Percent 2 5 2 4 2 2 3" xfId="30334"/>
    <cellStyle name="Percent 2 5 2 4 2 3" xfId="30335"/>
    <cellStyle name="Percent 2 5 2 4 2 3 2" xfId="30336"/>
    <cellStyle name="Percent 2 5 2 4 2 4" xfId="30337"/>
    <cellStyle name="Percent 2 5 2 4 3" xfId="30338"/>
    <cellStyle name="Percent 2 5 2 4 3 2" xfId="30339"/>
    <cellStyle name="Percent 2 5 2 4 3 2 2" xfId="30340"/>
    <cellStyle name="Percent 2 5 2 4 3 3" xfId="30341"/>
    <cellStyle name="Percent 2 5 2 4 4" xfId="30342"/>
    <cellStyle name="Percent 2 5 2 4 4 2" xfId="30343"/>
    <cellStyle name="Percent 2 5 2 4 4 3" xfId="30344"/>
    <cellStyle name="Percent 2 5 2 4 5" xfId="30345"/>
    <cellStyle name="Percent 2 5 2 4 5 2" xfId="30346"/>
    <cellStyle name="Percent 2 5 2 4 6" xfId="30347"/>
    <cellStyle name="Percent 2 5 2 4 6 2" xfId="37305"/>
    <cellStyle name="Percent 2 5 2 4 7" xfId="30348"/>
    <cellStyle name="Percent 2 5 2 5" xfId="30349"/>
    <cellStyle name="Percent 2 5 2 5 2" xfId="30350"/>
    <cellStyle name="Percent 2 5 2 5 2 2" xfId="30351"/>
    <cellStyle name="Percent 2 5 2 5 2 2 2" xfId="30352"/>
    <cellStyle name="Percent 2 5 2 5 2 3" xfId="30353"/>
    <cellStyle name="Percent 2 5 2 5 3" xfId="30354"/>
    <cellStyle name="Percent 2 5 2 5 3 2" xfId="30355"/>
    <cellStyle name="Percent 2 5 2 5 4" xfId="30356"/>
    <cellStyle name="Percent 2 5 2 6" xfId="30357"/>
    <cellStyle name="Percent 2 5 2 6 2" xfId="30358"/>
    <cellStyle name="Percent 2 5 2 6 2 2" xfId="30359"/>
    <cellStyle name="Percent 2 5 2 6 3" xfId="30360"/>
    <cellStyle name="Percent 2 5 2 7" xfId="30361"/>
    <cellStyle name="Percent 2 5 2 7 2" xfId="30362"/>
    <cellStyle name="Percent 2 5 2 7 2 2" xfId="30363"/>
    <cellStyle name="Percent 2 5 2 7 3" xfId="30364"/>
    <cellStyle name="Percent 2 5 2 8" xfId="30365"/>
    <cellStyle name="Percent 2 5 2 8 2" xfId="30366"/>
    <cellStyle name="Percent 2 5 2 9" xfId="30367"/>
    <cellStyle name="Percent 2 5 2 9 2" xfId="37306"/>
    <cellStyle name="Percent 2 5 3" xfId="30368"/>
    <cellStyle name="Percent 2 5 3 2" xfId="30369"/>
    <cellStyle name="Percent 2 5 3 2 2" xfId="30370"/>
    <cellStyle name="Percent 2 5 3 2 2 2" xfId="30371"/>
    <cellStyle name="Percent 2 5 3 2 2 2 2" xfId="30372"/>
    <cellStyle name="Percent 2 5 3 2 2 2 2 2" xfId="30373"/>
    <cellStyle name="Percent 2 5 3 2 2 2 2 3" xfId="30374"/>
    <cellStyle name="Percent 2 5 3 2 2 2 3" xfId="30375"/>
    <cellStyle name="Percent 2 5 3 2 2 2 3 2" xfId="30376"/>
    <cellStyle name="Percent 2 5 3 2 2 2 4" xfId="30377"/>
    <cellStyle name="Percent 2 5 3 2 2 3" xfId="30378"/>
    <cellStyle name="Percent 2 5 3 2 2 3 2" xfId="30379"/>
    <cellStyle name="Percent 2 5 3 2 2 3 2 2" xfId="30380"/>
    <cellStyle name="Percent 2 5 3 2 2 3 3" xfId="30381"/>
    <cellStyle name="Percent 2 5 3 2 2 4" xfId="30382"/>
    <cellStyle name="Percent 2 5 3 2 2 4 2" xfId="30383"/>
    <cellStyle name="Percent 2 5 3 2 2 4 3" xfId="30384"/>
    <cellStyle name="Percent 2 5 3 2 2 5" xfId="30385"/>
    <cellStyle name="Percent 2 5 3 2 2 5 2" xfId="30386"/>
    <cellStyle name="Percent 2 5 3 2 2 6" xfId="30387"/>
    <cellStyle name="Percent 2 5 3 2 2 6 2" xfId="37307"/>
    <cellStyle name="Percent 2 5 3 2 2 7" xfId="30388"/>
    <cellStyle name="Percent 2 5 3 2 3" xfId="30389"/>
    <cellStyle name="Percent 2 5 3 2 3 2" xfId="30390"/>
    <cellStyle name="Percent 2 5 3 2 3 2 2" xfId="30391"/>
    <cellStyle name="Percent 2 5 3 2 3 2 2 2" xfId="30392"/>
    <cellStyle name="Percent 2 5 3 2 3 2 3" xfId="30393"/>
    <cellStyle name="Percent 2 5 3 2 3 3" xfId="30394"/>
    <cellStyle name="Percent 2 5 3 2 3 3 2" xfId="30395"/>
    <cellStyle name="Percent 2 5 3 2 3 4" xfId="30396"/>
    <cellStyle name="Percent 2 5 3 2 4" xfId="30397"/>
    <cellStyle name="Percent 2 5 3 2 4 2" xfId="30398"/>
    <cellStyle name="Percent 2 5 3 2 4 2 2" xfId="30399"/>
    <cellStyle name="Percent 2 5 3 2 4 3" xfId="30400"/>
    <cellStyle name="Percent 2 5 3 2 5" xfId="30401"/>
    <cellStyle name="Percent 2 5 3 2 5 2" xfId="30402"/>
    <cellStyle name="Percent 2 5 3 2 5 2 2" xfId="30403"/>
    <cellStyle name="Percent 2 5 3 2 5 3" xfId="30404"/>
    <cellStyle name="Percent 2 5 3 2 6" xfId="30405"/>
    <cellStyle name="Percent 2 5 3 2 6 2" xfId="30406"/>
    <cellStyle name="Percent 2 5 3 2 7" xfId="30407"/>
    <cellStyle name="Percent 2 5 3 2 7 2" xfId="37308"/>
    <cellStyle name="Percent 2 5 3 2 8" xfId="30408"/>
    <cellStyle name="Percent 2 5 3 3" xfId="30409"/>
    <cellStyle name="Percent 2 5 3 3 2" xfId="30410"/>
    <cellStyle name="Percent 2 5 3 3 2 2" xfId="30411"/>
    <cellStyle name="Percent 2 5 3 3 2 2 2" xfId="30412"/>
    <cellStyle name="Percent 2 5 3 3 2 2 3" xfId="30413"/>
    <cellStyle name="Percent 2 5 3 3 2 3" xfId="30414"/>
    <cellStyle name="Percent 2 5 3 3 2 3 2" xfId="30415"/>
    <cellStyle name="Percent 2 5 3 3 2 4" xfId="30416"/>
    <cellStyle name="Percent 2 5 3 3 3" xfId="30417"/>
    <cellStyle name="Percent 2 5 3 3 3 2" xfId="30418"/>
    <cellStyle name="Percent 2 5 3 3 3 2 2" xfId="30419"/>
    <cellStyle name="Percent 2 5 3 3 3 3" xfId="30420"/>
    <cellStyle name="Percent 2 5 3 3 4" xfId="30421"/>
    <cellStyle name="Percent 2 5 3 3 4 2" xfId="30422"/>
    <cellStyle name="Percent 2 5 3 3 4 3" xfId="30423"/>
    <cellStyle name="Percent 2 5 3 3 5" xfId="30424"/>
    <cellStyle name="Percent 2 5 3 3 5 2" xfId="30425"/>
    <cellStyle name="Percent 2 5 3 3 6" xfId="30426"/>
    <cellStyle name="Percent 2 5 3 3 6 2" xfId="37309"/>
    <cellStyle name="Percent 2 5 3 3 7" xfId="30427"/>
    <cellStyle name="Percent 2 5 3 4" xfId="30428"/>
    <cellStyle name="Percent 2 5 3 4 2" xfId="30429"/>
    <cellStyle name="Percent 2 5 3 4 2 2" xfId="30430"/>
    <cellStyle name="Percent 2 5 3 4 2 2 2" xfId="30431"/>
    <cellStyle name="Percent 2 5 3 4 2 3" xfId="30432"/>
    <cellStyle name="Percent 2 5 3 4 3" xfId="30433"/>
    <cellStyle name="Percent 2 5 3 4 3 2" xfId="30434"/>
    <cellStyle name="Percent 2 5 3 4 4" xfId="30435"/>
    <cellStyle name="Percent 2 5 3 5" xfId="30436"/>
    <cellStyle name="Percent 2 5 3 5 2" xfId="30437"/>
    <cellStyle name="Percent 2 5 3 5 2 2" xfId="30438"/>
    <cellStyle name="Percent 2 5 3 5 3" xfId="30439"/>
    <cellStyle name="Percent 2 5 3 6" xfId="30440"/>
    <cellStyle name="Percent 2 5 3 6 2" xfId="30441"/>
    <cellStyle name="Percent 2 5 3 6 2 2" xfId="30442"/>
    <cellStyle name="Percent 2 5 3 6 3" xfId="30443"/>
    <cellStyle name="Percent 2 5 3 7" xfId="30444"/>
    <cellStyle name="Percent 2 5 3 7 2" xfId="30445"/>
    <cellStyle name="Percent 2 5 3 8" xfId="30446"/>
    <cellStyle name="Percent 2 5 3 8 2" xfId="37310"/>
    <cellStyle name="Percent 2 5 3 9" xfId="30447"/>
    <cellStyle name="Percent 2 5 4" xfId="30448"/>
    <cellStyle name="Percent 2 5 4 2" xfId="30449"/>
    <cellStyle name="Percent 2 5 4 2 2" xfId="30450"/>
    <cellStyle name="Percent 2 5 4 2 2 2" xfId="30451"/>
    <cellStyle name="Percent 2 5 4 2 2 2 2" xfId="30452"/>
    <cellStyle name="Percent 2 5 4 2 2 2 2 2" xfId="30453"/>
    <cellStyle name="Percent 2 5 4 2 2 2 2 3" xfId="30454"/>
    <cellStyle name="Percent 2 5 4 2 2 2 3" xfId="30455"/>
    <cellStyle name="Percent 2 5 4 2 2 2 3 2" xfId="30456"/>
    <cellStyle name="Percent 2 5 4 2 2 2 4" xfId="30457"/>
    <cellStyle name="Percent 2 5 4 2 2 3" xfId="30458"/>
    <cellStyle name="Percent 2 5 4 2 2 3 2" xfId="30459"/>
    <cellStyle name="Percent 2 5 4 2 2 3 2 2" xfId="30460"/>
    <cellStyle name="Percent 2 5 4 2 2 3 3" xfId="30461"/>
    <cellStyle name="Percent 2 5 4 2 2 4" xfId="30462"/>
    <cellStyle name="Percent 2 5 4 2 2 4 2" xfId="30463"/>
    <cellStyle name="Percent 2 5 4 2 2 4 3" xfId="30464"/>
    <cellStyle name="Percent 2 5 4 2 2 5" xfId="30465"/>
    <cellStyle name="Percent 2 5 4 2 2 5 2" xfId="30466"/>
    <cellStyle name="Percent 2 5 4 2 2 6" xfId="30467"/>
    <cellStyle name="Percent 2 5 4 2 2 6 2" xfId="37311"/>
    <cellStyle name="Percent 2 5 4 2 2 7" xfId="30468"/>
    <cellStyle name="Percent 2 5 4 2 3" xfId="30469"/>
    <cellStyle name="Percent 2 5 4 2 3 2" xfId="30470"/>
    <cellStyle name="Percent 2 5 4 2 3 2 2" xfId="30471"/>
    <cellStyle name="Percent 2 5 4 2 3 2 2 2" xfId="30472"/>
    <cellStyle name="Percent 2 5 4 2 3 2 3" xfId="30473"/>
    <cellStyle name="Percent 2 5 4 2 3 3" xfId="30474"/>
    <cellStyle name="Percent 2 5 4 2 3 3 2" xfId="30475"/>
    <cellStyle name="Percent 2 5 4 2 3 4" xfId="30476"/>
    <cellStyle name="Percent 2 5 4 2 4" xfId="30477"/>
    <cellStyle name="Percent 2 5 4 2 4 2" xfId="30478"/>
    <cellStyle name="Percent 2 5 4 2 4 2 2" xfId="30479"/>
    <cellStyle name="Percent 2 5 4 2 4 3" xfId="30480"/>
    <cellStyle name="Percent 2 5 4 2 5" xfId="30481"/>
    <cellStyle name="Percent 2 5 4 2 5 2" xfId="30482"/>
    <cellStyle name="Percent 2 5 4 2 5 2 2" xfId="30483"/>
    <cellStyle name="Percent 2 5 4 2 5 3" xfId="30484"/>
    <cellStyle name="Percent 2 5 4 2 6" xfId="30485"/>
    <cellStyle name="Percent 2 5 4 2 6 2" xfId="30486"/>
    <cellStyle name="Percent 2 5 4 2 7" xfId="30487"/>
    <cellStyle name="Percent 2 5 4 2 7 2" xfId="37312"/>
    <cellStyle name="Percent 2 5 4 2 8" xfId="30488"/>
    <cellStyle name="Percent 2 5 4 3" xfId="30489"/>
    <cellStyle name="Percent 2 5 4 3 2" xfId="30490"/>
    <cellStyle name="Percent 2 5 4 3 2 2" xfId="30491"/>
    <cellStyle name="Percent 2 5 4 3 2 2 2" xfId="30492"/>
    <cellStyle name="Percent 2 5 4 3 2 2 3" xfId="30493"/>
    <cellStyle name="Percent 2 5 4 3 2 3" xfId="30494"/>
    <cellStyle name="Percent 2 5 4 3 2 3 2" xfId="30495"/>
    <cellStyle name="Percent 2 5 4 3 2 4" xfId="30496"/>
    <cellStyle name="Percent 2 5 4 3 3" xfId="30497"/>
    <cellStyle name="Percent 2 5 4 3 3 2" xfId="30498"/>
    <cellStyle name="Percent 2 5 4 3 3 2 2" xfId="30499"/>
    <cellStyle name="Percent 2 5 4 3 3 3" xfId="30500"/>
    <cellStyle name="Percent 2 5 4 3 4" xfId="30501"/>
    <cellStyle name="Percent 2 5 4 3 4 2" xfId="30502"/>
    <cellStyle name="Percent 2 5 4 3 4 3" xfId="30503"/>
    <cellStyle name="Percent 2 5 4 3 5" xfId="30504"/>
    <cellStyle name="Percent 2 5 4 3 5 2" xfId="30505"/>
    <cellStyle name="Percent 2 5 4 3 6" xfId="30506"/>
    <cellStyle name="Percent 2 5 4 3 6 2" xfId="37313"/>
    <cellStyle name="Percent 2 5 4 3 7" xfId="30507"/>
    <cellStyle name="Percent 2 5 4 4" xfId="30508"/>
    <cellStyle name="Percent 2 5 4 4 2" xfId="30509"/>
    <cellStyle name="Percent 2 5 4 4 2 2" xfId="30510"/>
    <cellStyle name="Percent 2 5 4 4 2 2 2" xfId="30511"/>
    <cellStyle name="Percent 2 5 4 4 2 3" xfId="30512"/>
    <cellStyle name="Percent 2 5 4 4 3" xfId="30513"/>
    <cellStyle name="Percent 2 5 4 4 3 2" xfId="30514"/>
    <cellStyle name="Percent 2 5 4 4 4" xfId="30515"/>
    <cellStyle name="Percent 2 5 4 5" xfId="30516"/>
    <cellStyle name="Percent 2 5 4 5 2" xfId="30517"/>
    <cellStyle name="Percent 2 5 4 5 2 2" xfId="30518"/>
    <cellStyle name="Percent 2 5 4 5 3" xfId="30519"/>
    <cellStyle name="Percent 2 5 4 6" xfId="30520"/>
    <cellStyle name="Percent 2 5 4 6 2" xfId="30521"/>
    <cellStyle name="Percent 2 5 4 6 2 2" xfId="30522"/>
    <cellStyle name="Percent 2 5 4 6 3" xfId="30523"/>
    <cellStyle name="Percent 2 5 4 7" xfId="30524"/>
    <cellStyle name="Percent 2 5 4 7 2" xfId="30525"/>
    <cellStyle name="Percent 2 5 4 8" xfId="30526"/>
    <cellStyle name="Percent 2 5 4 8 2" xfId="37314"/>
    <cellStyle name="Percent 2 5 4 9" xfId="30527"/>
    <cellStyle name="Percent 2 5 5" xfId="30528"/>
    <cellStyle name="Percent 2 5 5 2" xfId="30529"/>
    <cellStyle name="Percent 2 5 5 2 2" xfId="30530"/>
    <cellStyle name="Percent 2 5 5 2 2 2" xfId="30531"/>
    <cellStyle name="Percent 2 5 5 2 2 2 2" xfId="30532"/>
    <cellStyle name="Percent 2 5 5 2 2 2 3" xfId="30533"/>
    <cellStyle name="Percent 2 5 5 2 2 3" xfId="30534"/>
    <cellStyle name="Percent 2 5 5 2 2 3 2" xfId="30535"/>
    <cellStyle name="Percent 2 5 5 2 2 4" xfId="30536"/>
    <cellStyle name="Percent 2 5 5 2 3" xfId="30537"/>
    <cellStyle name="Percent 2 5 5 2 3 2" xfId="30538"/>
    <cellStyle name="Percent 2 5 5 2 3 2 2" xfId="30539"/>
    <cellStyle name="Percent 2 5 5 2 3 3" xfId="30540"/>
    <cellStyle name="Percent 2 5 5 2 4" xfId="30541"/>
    <cellStyle name="Percent 2 5 5 2 4 2" xfId="30542"/>
    <cellStyle name="Percent 2 5 5 2 4 3" xfId="30543"/>
    <cellStyle name="Percent 2 5 5 2 5" xfId="30544"/>
    <cellStyle name="Percent 2 5 5 2 5 2" xfId="30545"/>
    <cellStyle name="Percent 2 5 5 2 6" xfId="30546"/>
    <cellStyle name="Percent 2 5 5 2 6 2" xfId="37315"/>
    <cellStyle name="Percent 2 5 5 2 7" xfId="30547"/>
    <cellStyle name="Percent 2 5 5 3" xfId="30548"/>
    <cellStyle name="Percent 2 5 5 3 2" xfId="30549"/>
    <cellStyle name="Percent 2 5 5 3 2 2" xfId="30550"/>
    <cellStyle name="Percent 2 5 5 3 2 2 2" xfId="30551"/>
    <cellStyle name="Percent 2 5 5 3 2 3" xfId="30552"/>
    <cellStyle name="Percent 2 5 5 3 3" xfId="30553"/>
    <cellStyle name="Percent 2 5 5 3 3 2" xfId="30554"/>
    <cellStyle name="Percent 2 5 5 3 4" xfId="30555"/>
    <cellStyle name="Percent 2 5 5 4" xfId="30556"/>
    <cellStyle name="Percent 2 5 5 4 2" xfId="30557"/>
    <cellStyle name="Percent 2 5 5 4 2 2" xfId="30558"/>
    <cellStyle name="Percent 2 5 5 4 3" xfId="30559"/>
    <cellStyle name="Percent 2 5 5 5" xfId="30560"/>
    <cellStyle name="Percent 2 5 5 5 2" xfId="30561"/>
    <cellStyle name="Percent 2 5 5 5 2 2" xfId="30562"/>
    <cellStyle name="Percent 2 5 5 5 3" xfId="30563"/>
    <cellStyle name="Percent 2 5 5 6" xfId="30564"/>
    <cellStyle name="Percent 2 5 5 6 2" xfId="30565"/>
    <cellStyle name="Percent 2 5 5 7" xfId="30566"/>
    <cellStyle name="Percent 2 5 5 7 2" xfId="37316"/>
    <cellStyle name="Percent 2 5 5 8" xfId="30567"/>
    <cellStyle name="Percent 2 5 6" xfId="30568"/>
    <cellStyle name="Percent 2 5 6 2" xfId="30569"/>
    <cellStyle name="Percent 2 5 6 2 2" xfId="30570"/>
    <cellStyle name="Percent 2 5 6 2 2 2" xfId="30571"/>
    <cellStyle name="Percent 2 5 6 2 2 2 2" xfId="30572"/>
    <cellStyle name="Percent 2 5 6 2 2 2 3" xfId="30573"/>
    <cellStyle name="Percent 2 5 6 2 2 3" xfId="30574"/>
    <cellStyle name="Percent 2 5 6 2 2 3 2" xfId="30575"/>
    <cellStyle name="Percent 2 5 6 2 2 4" xfId="30576"/>
    <cellStyle name="Percent 2 5 6 2 3" xfId="30577"/>
    <cellStyle name="Percent 2 5 6 2 3 2" xfId="30578"/>
    <cellStyle name="Percent 2 5 6 2 3 2 2" xfId="30579"/>
    <cellStyle name="Percent 2 5 6 2 3 3" xfId="30580"/>
    <cellStyle name="Percent 2 5 6 2 4" xfId="30581"/>
    <cellStyle name="Percent 2 5 6 2 4 2" xfId="30582"/>
    <cellStyle name="Percent 2 5 6 2 4 3" xfId="30583"/>
    <cellStyle name="Percent 2 5 6 2 5" xfId="30584"/>
    <cellStyle name="Percent 2 5 6 2 5 2" xfId="30585"/>
    <cellStyle name="Percent 2 5 6 2 6" xfId="30586"/>
    <cellStyle name="Percent 2 5 6 2 6 2" xfId="37317"/>
    <cellStyle name="Percent 2 5 6 2 7" xfId="30587"/>
    <cellStyle name="Percent 2 5 6 3" xfId="30588"/>
    <cellStyle name="Percent 2 5 6 3 2" xfId="30589"/>
    <cellStyle name="Percent 2 5 6 3 2 2" xfId="30590"/>
    <cellStyle name="Percent 2 5 6 3 2 2 2" xfId="30591"/>
    <cellStyle name="Percent 2 5 6 3 2 3" xfId="30592"/>
    <cellStyle name="Percent 2 5 6 3 3" xfId="30593"/>
    <cellStyle name="Percent 2 5 6 3 3 2" xfId="30594"/>
    <cellStyle name="Percent 2 5 6 3 4" xfId="30595"/>
    <cellStyle name="Percent 2 5 6 4" xfId="30596"/>
    <cellStyle name="Percent 2 5 6 4 2" xfId="30597"/>
    <cellStyle name="Percent 2 5 6 4 2 2" xfId="30598"/>
    <cellStyle name="Percent 2 5 6 4 3" xfId="30599"/>
    <cellStyle name="Percent 2 5 6 5" xfId="30600"/>
    <cellStyle name="Percent 2 5 6 5 2" xfId="30601"/>
    <cellStyle name="Percent 2 5 6 5 2 2" xfId="30602"/>
    <cellStyle name="Percent 2 5 6 5 3" xfId="30603"/>
    <cellStyle name="Percent 2 5 6 6" xfId="30604"/>
    <cellStyle name="Percent 2 5 6 6 2" xfId="30605"/>
    <cellStyle name="Percent 2 5 6 7" xfId="30606"/>
    <cellStyle name="Percent 2 5 6 7 2" xfId="37318"/>
    <cellStyle name="Percent 2 5 6 8" xfId="30607"/>
    <cellStyle name="Percent 2 5 7" xfId="30608"/>
    <cellStyle name="Percent 2 5 7 2" xfId="30609"/>
    <cellStyle name="Percent 2 5 7 2 2" xfId="30610"/>
    <cellStyle name="Percent 2 5 7 2 2 2" xfId="30611"/>
    <cellStyle name="Percent 2 5 7 2 2 2 2" xfId="30612"/>
    <cellStyle name="Percent 2 5 7 2 2 2 3" xfId="30613"/>
    <cellStyle name="Percent 2 5 7 2 2 3" xfId="30614"/>
    <cellStyle name="Percent 2 5 7 2 2 3 2" xfId="30615"/>
    <cellStyle name="Percent 2 5 7 2 2 4" xfId="30616"/>
    <cellStyle name="Percent 2 5 7 2 3" xfId="30617"/>
    <cellStyle name="Percent 2 5 7 2 3 2" xfId="30618"/>
    <cellStyle name="Percent 2 5 7 2 3 2 2" xfId="30619"/>
    <cellStyle name="Percent 2 5 7 2 3 3" xfId="30620"/>
    <cellStyle name="Percent 2 5 7 2 4" xfId="30621"/>
    <cellStyle name="Percent 2 5 7 2 4 2" xfId="30622"/>
    <cellStyle name="Percent 2 5 7 2 4 3" xfId="30623"/>
    <cellStyle name="Percent 2 5 7 2 5" xfId="30624"/>
    <cellStyle name="Percent 2 5 7 2 5 2" xfId="30625"/>
    <cellStyle name="Percent 2 5 7 2 6" xfId="30626"/>
    <cellStyle name="Percent 2 5 7 2 6 2" xfId="37319"/>
    <cellStyle name="Percent 2 5 7 2 7" xfId="30627"/>
    <cellStyle name="Percent 2 5 7 3" xfId="30628"/>
    <cellStyle name="Percent 2 5 7 3 2" xfId="30629"/>
    <cellStyle name="Percent 2 5 7 3 2 2" xfId="30630"/>
    <cellStyle name="Percent 2 5 7 3 2 2 2" xfId="30631"/>
    <cellStyle name="Percent 2 5 7 3 2 3" xfId="30632"/>
    <cellStyle name="Percent 2 5 7 3 3" xfId="30633"/>
    <cellStyle name="Percent 2 5 7 3 3 2" xfId="30634"/>
    <cellStyle name="Percent 2 5 7 3 4" xfId="30635"/>
    <cellStyle name="Percent 2 5 7 4" xfId="30636"/>
    <cellStyle name="Percent 2 5 7 4 2" xfId="30637"/>
    <cellStyle name="Percent 2 5 7 4 2 2" xfId="30638"/>
    <cellStyle name="Percent 2 5 7 4 3" xfId="30639"/>
    <cellStyle name="Percent 2 5 7 5" xfId="30640"/>
    <cellStyle name="Percent 2 5 7 5 2" xfId="30641"/>
    <cellStyle name="Percent 2 5 7 5 2 2" xfId="30642"/>
    <cellStyle name="Percent 2 5 7 5 3" xfId="30643"/>
    <cellStyle name="Percent 2 5 7 6" xfId="30644"/>
    <cellStyle name="Percent 2 5 7 6 2" xfId="30645"/>
    <cellStyle name="Percent 2 5 7 7" xfId="30646"/>
    <cellStyle name="Percent 2 5 7 7 2" xfId="37320"/>
    <cellStyle name="Percent 2 5 7 8" xfId="30647"/>
    <cellStyle name="Percent 2 5 8" xfId="30648"/>
    <cellStyle name="Percent 2 5 8 2" xfId="30649"/>
    <cellStyle name="Percent 2 5 8 2 2" xfId="30650"/>
    <cellStyle name="Percent 2 5 8 2 2 2" xfId="30651"/>
    <cellStyle name="Percent 2 5 8 2 2 3" xfId="30652"/>
    <cellStyle name="Percent 2 5 8 2 3" xfId="30653"/>
    <cellStyle name="Percent 2 5 8 2 3 2" xfId="30654"/>
    <cellStyle name="Percent 2 5 8 2 4" xfId="30655"/>
    <cellStyle name="Percent 2 5 8 3" xfId="30656"/>
    <cellStyle name="Percent 2 5 8 3 2" xfId="30657"/>
    <cellStyle name="Percent 2 5 8 3 2 2" xfId="30658"/>
    <cellStyle name="Percent 2 5 8 3 3" xfId="30659"/>
    <cellStyle name="Percent 2 5 8 4" xfId="30660"/>
    <cellStyle name="Percent 2 5 8 4 2" xfId="30661"/>
    <cellStyle name="Percent 2 5 8 4 3" xfId="30662"/>
    <cellStyle name="Percent 2 5 8 5" xfId="30663"/>
    <cellStyle name="Percent 2 5 8 5 2" xfId="30664"/>
    <cellStyle name="Percent 2 5 8 6" xfId="30665"/>
    <cellStyle name="Percent 2 5 8 6 2" xfId="37321"/>
    <cellStyle name="Percent 2 5 8 7" xfId="30666"/>
    <cellStyle name="Percent 2 5 9" xfId="30667"/>
    <cellStyle name="Percent 2 5 9 2" xfId="30668"/>
    <cellStyle name="Percent 2 5 9 2 2" xfId="30669"/>
    <cellStyle name="Percent 2 5 9 2 2 2" xfId="30670"/>
    <cellStyle name="Percent 2 5 9 2 3" xfId="30671"/>
    <cellStyle name="Percent 2 5 9 3" xfId="30672"/>
    <cellStyle name="Percent 2 5 9 3 2" xfId="30673"/>
    <cellStyle name="Percent 2 5 9 4" xfId="30674"/>
    <cellStyle name="Percent 2 6" xfId="30675"/>
    <cellStyle name="Percent 2 6 10" xfId="30676"/>
    <cellStyle name="Percent 2 6 10 2" xfId="30677"/>
    <cellStyle name="Percent 2 6 10 2 2" xfId="30678"/>
    <cellStyle name="Percent 2 6 10 3" xfId="30679"/>
    <cellStyle name="Percent 2 6 11" xfId="30680"/>
    <cellStyle name="Percent 2 6 11 2" xfId="30681"/>
    <cellStyle name="Percent 2 6 12" xfId="30682"/>
    <cellStyle name="Percent 2 6 12 2" xfId="37322"/>
    <cellStyle name="Percent 2 6 13" xfId="30683"/>
    <cellStyle name="Percent 2 6 2" xfId="30684"/>
    <cellStyle name="Percent 2 6 2 10" xfId="30685"/>
    <cellStyle name="Percent 2 6 2 2" xfId="30686"/>
    <cellStyle name="Percent 2 6 2 2 2" xfId="30687"/>
    <cellStyle name="Percent 2 6 2 2 2 2" xfId="30688"/>
    <cellStyle name="Percent 2 6 2 2 2 2 2" xfId="30689"/>
    <cellStyle name="Percent 2 6 2 2 2 2 2 2" xfId="30690"/>
    <cellStyle name="Percent 2 6 2 2 2 2 2 2 2" xfId="30691"/>
    <cellStyle name="Percent 2 6 2 2 2 2 2 2 3" xfId="30692"/>
    <cellStyle name="Percent 2 6 2 2 2 2 2 3" xfId="30693"/>
    <cellStyle name="Percent 2 6 2 2 2 2 2 3 2" xfId="30694"/>
    <cellStyle name="Percent 2 6 2 2 2 2 2 4" xfId="30695"/>
    <cellStyle name="Percent 2 6 2 2 2 2 3" xfId="30696"/>
    <cellStyle name="Percent 2 6 2 2 2 2 3 2" xfId="30697"/>
    <cellStyle name="Percent 2 6 2 2 2 2 3 2 2" xfId="30698"/>
    <cellStyle name="Percent 2 6 2 2 2 2 3 3" xfId="30699"/>
    <cellStyle name="Percent 2 6 2 2 2 2 4" xfId="30700"/>
    <cellStyle name="Percent 2 6 2 2 2 2 4 2" xfId="30701"/>
    <cellStyle name="Percent 2 6 2 2 2 2 4 3" xfId="30702"/>
    <cellStyle name="Percent 2 6 2 2 2 2 5" xfId="30703"/>
    <cellStyle name="Percent 2 6 2 2 2 2 5 2" xfId="30704"/>
    <cellStyle name="Percent 2 6 2 2 2 2 6" xfId="30705"/>
    <cellStyle name="Percent 2 6 2 2 2 2 6 2" xfId="37323"/>
    <cellStyle name="Percent 2 6 2 2 2 2 7" xfId="30706"/>
    <cellStyle name="Percent 2 6 2 2 2 3" xfId="30707"/>
    <cellStyle name="Percent 2 6 2 2 2 3 2" xfId="30708"/>
    <cellStyle name="Percent 2 6 2 2 2 3 2 2" xfId="30709"/>
    <cellStyle name="Percent 2 6 2 2 2 3 2 2 2" xfId="30710"/>
    <cellStyle name="Percent 2 6 2 2 2 3 2 3" xfId="30711"/>
    <cellStyle name="Percent 2 6 2 2 2 3 3" xfId="30712"/>
    <cellStyle name="Percent 2 6 2 2 2 3 3 2" xfId="30713"/>
    <cellStyle name="Percent 2 6 2 2 2 3 4" xfId="30714"/>
    <cellStyle name="Percent 2 6 2 2 2 4" xfId="30715"/>
    <cellStyle name="Percent 2 6 2 2 2 4 2" xfId="30716"/>
    <cellStyle name="Percent 2 6 2 2 2 4 2 2" xfId="30717"/>
    <cellStyle name="Percent 2 6 2 2 2 4 3" xfId="30718"/>
    <cellStyle name="Percent 2 6 2 2 2 5" xfId="30719"/>
    <cellStyle name="Percent 2 6 2 2 2 5 2" xfId="30720"/>
    <cellStyle name="Percent 2 6 2 2 2 5 2 2" xfId="30721"/>
    <cellStyle name="Percent 2 6 2 2 2 5 3" xfId="30722"/>
    <cellStyle name="Percent 2 6 2 2 2 6" xfId="30723"/>
    <cellStyle name="Percent 2 6 2 2 2 6 2" xfId="30724"/>
    <cellStyle name="Percent 2 6 2 2 2 7" xfId="30725"/>
    <cellStyle name="Percent 2 6 2 2 2 7 2" xfId="37324"/>
    <cellStyle name="Percent 2 6 2 2 2 8" xfId="30726"/>
    <cellStyle name="Percent 2 6 2 2 3" xfId="30727"/>
    <cellStyle name="Percent 2 6 2 2 3 2" xfId="30728"/>
    <cellStyle name="Percent 2 6 2 2 3 2 2" xfId="30729"/>
    <cellStyle name="Percent 2 6 2 2 3 2 2 2" xfId="30730"/>
    <cellStyle name="Percent 2 6 2 2 3 2 2 3" xfId="30731"/>
    <cellStyle name="Percent 2 6 2 2 3 2 3" xfId="30732"/>
    <cellStyle name="Percent 2 6 2 2 3 2 3 2" xfId="30733"/>
    <cellStyle name="Percent 2 6 2 2 3 2 4" xfId="30734"/>
    <cellStyle name="Percent 2 6 2 2 3 3" xfId="30735"/>
    <cellStyle name="Percent 2 6 2 2 3 3 2" xfId="30736"/>
    <cellStyle name="Percent 2 6 2 2 3 3 2 2" xfId="30737"/>
    <cellStyle name="Percent 2 6 2 2 3 3 3" xfId="30738"/>
    <cellStyle name="Percent 2 6 2 2 3 4" xfId="30739"/>
    <cellStyle name="Percent 2 6 2 2 3 4 2" xfId="30740"/>
    <cellStyle name="Percent 2 6 2 2 3 4 3" xfId="30741"/>
    <cellStyle name="Percent 2 6 2 2 3 5" xfId="30742"/>
    <cellStyle name="Percent 2 6 2 2 3 5 2" xfId="30743"/>
    <cellStyle name="Percent 2 6 2 2 3 6" xfId="30744"/>
    <cellStyle name="Percent 2 6 2 2 3 6 2" xfId="37325"/>
    <cellStyle name="Percent 2 6 2 2 3 7" xfId="30745"/>
    <cellStyle name="Percent 2 6 2 2 4" xfId="30746"/>
    <cellStyle name="Percent 2 6 2 2 4 2" xfId="30747"/>
    <cellStyle name="Percent 2 6 2 2 4 2 2" xfId="30748"/>
    <cellStyle name="Percent 2 6 2 2 4 2 2 2" xfId="30749"/>
    <cellStyle name="Percent 2 6 2 2 4 2 3" xfId="30750"/>
    <cellStyle name="Percent 2 6 2 2 4 3" xfId="30751"/>
    <cellStyle name="Percent 2 6 2 2 4 3 2" xfId="30752"/>
    <cellStyle name="Percent 2 6 2 2 4 4" xfId="30753"/>
    <cellStyle name="Percent 2 6 2 2 5" xfId="30754"/>
    <cellStyle name="Percent 2 6 2 2 5 2" xfId="30755"/>
    <cellStyle name="Percent 2 6 2 2 5 2 2" xfId="30756"/>
    <cellStyle name="Percent 2 6 2 2 5 3" xfId="30757"/>
    <cellStyle name="Percent 2 6 2 2 6" xfId="30758"/>
    <cellStyle name="Percent 2 6 2 2 6 2" xfId="30759"/>
    <cellStyle name="Percent 2 6 2 2 6 2 2" xfId="30760"/>
    <cellStyle name="Percent 2 6 2 2 6 3" xfId="30761"/>
    <cellStyle name="Percent 2 6 2 2 7" xfId="30762"/>
    <cellStyle name="Percent 2 6 2 2 7 2" xfId="30763"/>
    <cellStyle name="Percent 2 6 2 2 8" xfId="30764"/>
    <cellStyle name="Percent 2 6 2 2 8 2" xfId="37326"/>
    <cellStyle name="Percent 2 6 2 2 9" xfId="30765"/>
    <cellStyle name="Percent 2 6 2 3" xfId="30766"/>
    <cellStyle name="Percent 2 6 2 3 2" xfId="30767"/>
    <cellStyle name="Percent 2 6 2 3 2 2" xfId="30768"/>
    <cellStyle name="Percent 2 6 2 3 2 2 2" xfId="30769"/>
    <cellStyle name="Percent 2 6 2 3 2 2 2 2" xfId="30770"/>
    <cellStyle name="Percent 2 6 2 3 2 2 2 3" xfId="30771"/>
    <cellStyle name="Percent 2 6 2 3 2 2 3" xfId="30772"/>
    <cellStyle name="Percent 2 6 2 3 2 2 3 2" xfId="30773"/>
    <cellStyle name="Percent 2 6 2 3 2 2 4" xfId="30774"/>
    <cellStyle name="Percent 2 6 2 3 2 3" xfId="30775"/>
    <cellStyle name="Percent 2 6 2 3 2 3 2" xfId="30776"/>
    <cellStyle name="Percent 2 6 2 3 2 3 2 2" xfId="30777"/>
    <cellStyle name="Percent 2 6 2 3 2 3 3" xfId="30778"/>
    <cellStyle name="Percent 2 6 2 3 2 4" xfId="30779"/>
    <cellStyle name="Percent 2 6 2 3 2 4 2" xfId="30780"/>
    <cellStyle name="Percent 2 6 2 3 2 4 3" xfId="30781"/>
    <cellStyle name="Percent 2 6 2 3 2 5" xfId="30782"/>
    <cellStyle name="Percent 2 6 2 3 2 5 2" xfId="30783"/>
    <cellStyle name="Percent 2 6 2 3 2 6" xfId="30784"/>
    <cellStyle name="Percent 2 6 2 3 2 6 2" xfId="37327"/>
    <cellStyle name="Percent 2 6 2 3 2 7" xfId="30785"/>
    <cellStyle name="Percent 2 6 2 3 3" xfId="30786"/>
    <cellStyle name="Percent 2 6 2 3 3 2" xfId="30787"/>
    <cellStyle name="Percent 2 6 2 3 3 2 2" xfId="30788"/>
    <cellStyle name="Percent 2 6 2 3 3 2 2 2" xfId="30789"/>
    <cellStyle name="Percent 2 6 2 3 3 2 3" xfId="30790"/>
    <cellStyle name="Percent 2 6 2 3 3 3" xfId="30791"/>
    <cellStyle name="Percent 2 6 2 3 3 3 2" xfId="30792"/>
    <cellStyle name="Percent 2 6 2 3 3 4" xfId="30793"/>
    <cellStyle name="Percent 2 6 2 3 4" xfId="30794"/>
    <cellStyle name="Percent 2 6 2 3 4 2" xfId="30795"/>
    <cellStyle name="Percent 2 6 2 3 4 2 2" xfId="30796"/>
    <cellStyle name="Percent 2 6 2 3 4 3" xfId="30797"/>
    <cellStyle name="Percent 2 6 2 3 5" xfId="30798"/>
    <cellStyle name="Percent 2 6 2 3 5 2" xfId="30799"/>
    <cellStyle name="Percent 2 6 2 3 5 2 2" xfId="30800"/>
    <cellStyle name="Percent 2 6 2 3 5 3" xfId="30801"/>
    <cellStyle name="Percent 2 6 2 3 6" xfId="30802"/>
    <cellStyle name="Percent 2 6 2 3 6 2" xfId="30803"/>
    <cellStyle name="Percent 2 6 2 3 7" xfId="30804"/>
    <cellStyle name="Percent 2 6 2 3 7 2" xfId="37328"/>
    <cellStyle name="Percent 2 6 2 3 8" xfId="30805"/>
    <cellStyle name="Percent 2 6 2 4" xfId="30806"/>
    <cellStyle name="Percent 2 6 2 4 2" xfId="30807"/>
    <cellStyle name="Percent 2 6 2 4 2 2" xfId="30808"/>
    <cellStyle name="Percent 2 6 2 4 2 2 2" xfId="30809"/>
    <cellStyle name="Percent 2 6 2 4 2 2 3" xfId="30810"/>
    <cellStyle name="Percent 2 6 2 4 2 3" xfId="30811"/>
    <cellStyle name="Percent 2 6 2 4 2 3 2" xfId="30812"/>
    <cellStyle name="Percent 2 6 2 4 2 4" xfId="30813"/>
    <cellStyle name="Percent 2 6 2 4 3" xfId="30814"/>
    <cellStyle name="Percent 2 6 2 4 3 2" xfId="30815"/>
    <cellStyle name="Percent 2 6 2 4 3 2 2" xfId="30816"/>
    <cellStyle name="Percent 2 6 2 4 3 3" xfId="30817"/>
    <cellStyle name="Percent 2 6 2 4 4" xfId="30818"/>
    <cellStyle name="Percent 2 6 2 4 4 2" xfId="30819"/>
    <cellStyle name="Percent 2 6 2 4 4 3" xfId="30820"/>
    <cellStyle name="Percent 2 6 2 4 5" xfId="30821"/>
    <cellStyle name="Percent 2 6 2 4 5 2" xfId="30822"/>
    <cellStyle name="Percent 2 6 2 4 6" xfId="30823"/>
    <cellStyle name="Percent 2 6 2 4 6 2" xfId="37329"/>
    <cellStyle name="Percent 2 6 2 4 7" xfId="30824"/>
    <cellStyle name="Percent 2 6 2 5" xfId="30825"/>
    <cellStyle name="Percent 2 6 2 5 2" xfId="30826"/>
    <cellStyle name="Percent 2 6 2 5 2 2" xfId="30827"/>
    <cellStyle name="Percent 2 6 2 5 2 2 2" xfId="30828"/>
    <cellStyle name="Percent 2 6 2 5 2 3" xfId="30829"/>
    <cellStyle name="Percent 2 6 2 5 3" xfId="30830"/>
    <cellStyle name="Percent 2 6 2 5 3 2" xfId="30831"/>
    <cellStyle name="Percent 2 6 2 5 4" xfId="30832"/>
    <cellStyle name="Percent 2 6 2 6" xfId="30833"/>
    <cellStyle name="Percent 2 6 2 6 2" xfId="30834"/>
    <cellStyle name="Percent 2 6 2 6 2 2" xfId="30835"/>
    <cellStyle name="Percent 2 6 2 6 3" xfId="30836"/>
    <cellStyle name="Percent 2 6 2 7" xfId="30837"/>
    <cellStyle name="Percent 2 6 2 7 2" xfId="30838"/>
    <cellStyle name="Percent 2 6 2 7 2 2" xfId="30839"/>
    <cellStyle name="Percent 2 6 2 7 3" xfId="30840"/>
    <cellStyle name="Percent 2 6 2 8" xfId="30841"/>
    <cellStyle name="Percent 2 6 2 8 2" xfId="30842"/>
    <cellStyle name="Percent 2 6 2 9" xfId="30843"/>
    <cellStyle name="Percent 2 6 2 9 2" xfId="37330"/>
    <cellStyle name="Percent 2 6 3" xfId="30844"/>
    <cellStyle name="Percent 2 6 3 2" xfId="30845"/>
    <cellStyle name="Percent 2 6 3 2 2" xfId="30846"/>
    <cellStyle name="Percent 2 6 3 2 2 2" xfId="30847"/>
    <cellStyle name="Percent 2 6 3 2 2 2 2" xfId="30848"/>
    <cellStyle name="Percent 2 6 3 2 2 2 2 2" xfId="30849"/>
    <cellStyle name="Percent 2 6 3 2 2 2 2 3" xfId="30850"/>
    <cellStyle name="Percent 2 6 3 2 2 2 3" xfId="30851"/>
    <cellStyle name="Percent 2 6 3 2 2 2 3 2" xfId="30852"/>
    <cellStyle name="Percent 2 6 3 2 2 2 4" xfId="30853"/>
    <cellStyle name="Percent 2 6 3 2 2 3" xfId="30854"/>
    <cellStyle name="Percent 2 6 3 2 2 3 2" xfId="30855"/>
    <cellStyle name="Percent 2 6 3 2 2 3 2 2" xfId="30856"/>
    <cellStyle name="Percent 2 6 3 2 2 3 3" xfId="30857"/>
    <cellStyle name="Percent 2 6 3 2 2 4" xfId="30858"/>
    <cellStyle name="Percent 2 6 3 2 2 4 2" xfId="30859"/>
    <cellStyle name="Percent 2 6 3 2 2 4 3" xfId="30860"/>
    <cellStyle name="Percent 2 6 3 2 2 5" xfId="30861"/>
    <cellStyle name="Percent 2 6 3 2 2 5 2" xfId="30862"/>
    <cellStyle name="Percent 2 6 3 2 2 6" xfId="30863"/>
    <cellStyle name="Percent 2 6 3 2 2 6 2" xfId="37331"/>
    <cellStyle name="Percent 2 6 3 2 2 7" xfId="30864"/>
    <cellStyle name="Percent 2 6 3 2 3" xfId="30865"/>
    <cellStyle name="Percent 2 6 3 2 3 2" xfId="30866"/>
    <cellStyle name="Percent 2 6 3 2 3 2 2" xfId="30867"/>
    <cellStyle name="Percent 2 6 3 2 3 2 2 2" xfId="30868"/>
    <cellStyle name="Percent 2 6 3 2 3 2 3" xfId="30869"/>
    <cellStyle name="Percent 2 6 3 2 3 3" xfId="30870"/>
    <cellStyle name="Percent 2 6 3 2 3 3 2" xfId="30871"/>
    <cellStyle name="Percent 2 6 3 2 3 4" xfId="30872"/>
    <cellStyle name="Percent 2 6 3 2 4" xfId="30873"/>
    <cellStyle name="Percent 2 6 3 2 4 2" xfId="30874"/>
    <cellStyle name="Percent 2 6 3 2 4 2 2" xfId="30875"/>
    <cellStyle name="Percent 2 6 3 2 4 3" xfId="30876"/>
    <cellStyle name="Percent 2 6 3 2 5" xfId="30877"/>
    <cellStyle name="Percent 2 6 3 2 5 2" xfId="30878"/>
    <cellStyle name="Percent 2 6 3 2 5 2 2" xfId="30879"/>
    <cellStyle name="Percent 2 6 3 2 5 3" xfId="30880"/>
    <cellStyle name="Percent 2 6 3 2 6" xfId="30881"/>
    <cellStyle name="Percent 2 6 3 2 6 2" xfId="30882"/>
    <cellStyle name="Percent 2 6 3 2 7" xfId="30883"/>
    <cellStyle name="Percent 2 6 3 2 7 2" xfId="37332"/>
    <cellStyle name="Percent 2 6 3 2 8" xfId="30884"/>
    <cellStyle name="Percent 2 6 3 3" xfId="30885"/>
    <cellStyle name="Percent 2 6 3 3 2" xfId="30886"/>
    <cellStyle name="Percent 2 6 3 3 2 2" xfId="30887"/>
    <cellStyle name="Percent 2 6 3 3 2 2 2" xfId="30888"/>
    <cellStyle name="Percent 2 6 3 3 2 2 3" xfId="30889"/>
    <cellStyle name="Percent 2 6 3 3 2 3" xfId="30890"/>
    <cellStyle name="Percent 2 6 3 3 2 3 2" xfId="30891"/>
    <cellStyle name="Percent 2 6 3 3 2 4" xfId="30892"/>
    <cellStyle name="Percent 2 6 3 3 3" xfId="30893"/>
    <cellStyle name="Percent 2 6 3 3 3 2" xfId="30894"/>
    <cellStyle name="Percent 2 6 3 3 3 2 2" xfId="30895"/>
    <cellStyle name="Percent 2 6 3 3 3 3" xfId="30896"/>
    <cellStyle name="Percent 2 6 3 3 4" xfId="30897"/>
    <cellStyle name="Percent 2 6 3 3 4 2" xfId="30898"/>
    <cellStyle name="Percent 2 6 3 3 4 3" xfId="30899"/>
    <cellStyle name="Percent 2 6 3 3 5" xfId="30900"/>
    <cellStyle name="Percent 2 6 3 3 5 2" xfId="30901"/>
    <cellStyle name="Percent 2 6 3 3 6" xfId="30902"/>
    <cellStyle name="Percent 2 6 3 3 6 2" xfId="37333"/>
    <cellStyle name="Percent 2 6 3 3 7" xfId="30903"/>
    <cellStyle name="Percent 2 6 3 4" xfId="30904"/>
    <cellStyle name="Percent 2 6 3 4 2" xfId="30905"/>
    <cellStyle name="Percent 2 6 3 4 2 2" xfId="30906"/>
    <cellStyle name="Percent 2 6 3 4 2 2 2" xfId="30907"/>
    <cellStyle name="Percent 2 6 3 4 2 3" xfId="30908"/>
    <cellStyle name="Percent 2 6 3 4 3" xfId="30909"/>
    <cellStyle name="Percent 2 6 3 4 3 2" xfId="30910"/>
    <cellStyle name="Percent 2 6 3 4 4" xfId="30911"/>
    <cellStyle name="Percent 2 6 3 5" xfId="30912"/>
    <cellStyle name="Percent 2 6 3 5 2" xfId="30913"/>
    <cellStyle name="Percent 2 6 3 5 2 2" xfId="30914"/>
    <cellStyle name="Percent 2 6 3 5 3" xfId="30915"/>
    <cellStyle name="Percent 2 6 3 6" xfId="30916"/>
    <cellStyle name="Percent 2 6 3 6 2" xfId="30917"/>
    <cellStyle name="Percent 2 6 3 6 2 2" xfId="30918"/>
    <cellStyle name="Percent 2 6 3 6 3" xfId="30919"/>
    <cellStyle name="Percent 2 6 3 7" xfId="30920"/>
    <cellStyle name="Percent 2 6 3 7 2" xfId="30921"/>
    <cellStyle name="Percent 2 6 3 8" xfId="30922"/>
    <cellStyle name="Percent 2 6 3 8 2" xfId="37334"/>
    <cellStyle name="Percent 2 6 3 9" xfId="30923"/>
    <cellStyle name="Percent 2 6 4" xfId="30924"/>
    <cellStyle name="Percent 2 6 4 2" xfId="30925"/>
    <cellStyle name="Percent 2 6 4 2 2" xfId="30926"/>
    <cellStyle name="Percent 2 6 4 2 2 2" xfId="30927"/>
    <cellStyle name="Percent 2 6 4 2 2 2 2" xfId="30928"/>
    <cellStyle name="Percent 2 6 4 2 2 2 3" xfId="30929"/>
    <cellStyle name="Percent 2 6 4 2 2 3" xfId="30930"/>
    <cellStyle name="Percent 2 6 4 2 2 3 2" xfId="30931"/>
    <cellStyle name="Percent 2 6 4 2 2 4" xfId="30932"/>
    <cellStyle name="Percent 2 6 4 2 3" xfId="30933"/>
    <cellStyle name="Percent 2 6 4 2 3 2" xfId="30934"/>
    <cellStyle name="Percent 2 6 4 2 3 2 2" xfId="30935"/>
    <cellStyle name="Percent 2 6 4 2 3 3" xfId="30936"/>
    <cellStyle name="Percent 2 6 4 2 4" xfId="30937"/>
    <cellStyle name="Percent 2 6 4 2 4 2" xfId="30938"/>
    <cellStyle name="Percent 2 6 4 2 4 3" xfId="30939"/>
    <cellStyle name="Percent 2 6 4 2 5" xfId="30940"/>
    <cellStyle name="Percent 2 6 4 2 5 2" xfId="30941"/>
    <cellStyle name="Percent 2 6 4 2 6" xfId="30942"/>
    <cellStyle name="Percent 2 6 4 2 6 2" xfId="37335"/>
    <cellStyle name="Percent 2 6 4 2 7" xfId="30943"/>
    <cellStyle name="Percent 2 6 4 3" xfId="30944"/>
    <cellStyle name="Percent 2 6 4 3 2" xfId="30945"/>
    <cellStyle name="Percent 2 6 4 3 2 2" xfId="30946"/>
    <cellStyle name="Percent 2 6 4 3 2 2 2" xfId="30947"/>
    <cellStyle name="Percent 2 6 4 3 2 3" xfId="30948"/>
    <cellStyle name="Percent 2 6 4 3 3" xfId="30949"/>
    <cellStyle name="Percent 2 6 4 3 3 2" xfId="30950"/>
    <cellStyle name="Percent 2 6 4 3 4" xfId="30951"/>
    <cellStyle name="Percent 2 6 4 4" xfId="30952"/>
    <cellStyle name="Percent 2 6 4 4 2" xfId="30953"/>
    <cellStyle name="Percent 2 6 4 4 2 2" xfId="30954"/>
    <cellStyle name="Percent 2 6 4 4 3" xfId="30955"/>
    <cellStyle name="Percent 2 6 4 5" xfId="30956"/>
    <cellStyle name="Percent 2 6 4 5 2" xfId="30957"/>
    <cellStyle name="Percent 2 6 4 5 2 2" xfId="30958"/>
    <cellStyle name="Percent 2 6 4 5 3" xfId="30959"/>
    <cellStyle name="Percent 2 6 4 6" xfId="30960"/>
    <cellStyle name="Percent 2 6 4 6 2" xfId="30961"/>
    <cellStyle name="Percent 2 6 4 7" xfId="30962"/>
    <cellStyle name="Percent 2 6 4 7 2" xfId="37336"/>
    <cellStyle name="Percent 2 6 4 8" xfId="30963"/>
    <cellStyle name="Percent 2 6 5" xfId="30964"/>
    <cellStyle name="Percent 2 6 5 2" xfId="30965"/>
    <cellStyle name="Percent 2 6 5 2 2" xfId="30966"/>
    <cellStyle name="Percent 2 6 5 2 2 2" xfId="30967"/>
    <cellStyle name="Percent 2 6 5 2 2 2 2" xfId="30968"/>
    <cellStyle name="Percent 2 6 5 2 2 2 3" xfId="30969"/>
    <cellStyle name="Percent 2 6 5 2 2 3" xfId="30970"/>
    <cellStyle name="Percent 2 6 5 2 2 3 2" xfId="30971"/>
    <cellStyle name="Percent 2 6 5 2 2 4" xfId="30972"/>
    <cellStyle name="Percent 2 6 5 2 3" xfId="30973"/>
    <cellStyle name="Percent 2 6 5 2 3 2" xfId="30974"/>
    <cellStyle name="Percent 2 6 5 2 3 2 2" xfId="30975"/>
    <cellStyle name="Percent 2 6 5 2 3 3" xfId="30976"/>
    <cellStyle name="Percent 2 6 5 2 4" xfId="30977"/>
    <cellStyle name="Percent 2 6 5 2 4 2" xfId="30978"/>
    <cellStyle name="Percent 2 6 5 2 4 3" xfId="30979"/>
    <cellStyle name="Percent 2 6 5 2 5" xfId="30980"/>
    <cellStyle name="Percent 2 6 5 2 5 2" xfId="30981"/>
    <cellStyle name="Percent 2 6 5 2 6" xfId="30982"/>
    <cellStyle name="Percent 2 6 5 2 6 2" xfId="37337"/>
    <cellStyle name="Percent 2 6 5 2 7" xfId="30983"/>
    <cellStyle name="Percent 2 6 5 3" xfId="30984"/>
    <cellStyle name="Percent 2 6 5 3 2" xfId="30985"/>
    <cellStyle name="Percent 2 6 5 3 2 2" xfId="30986"/>
    <cellStyle name="Percent 2 6 5 3 2 2 2" xfId="30987"/>
    <cellStyle name="Percent 2 6 5 3 2 3" xfId="30988"/>
    <cellStyle name="Percent 2 6 5 3 3" xfId="30989"/>
    <cellStyle name="Percent 2 6 5 3 3 2" xfId="30990"/>
    <cellStyle name="Percent 2 6 5 3 4" xfId="30991"/>
    <cellStyle name="Percent 2 6 5 4" xfId="30992"/>
    <cellStyle name="Percent 2 6 5 4 2" xfId="30993"/>
    <cellStyle name="Percent 2 6 5 4 2 2" xfId="30994"/>
    <cellStyle name="Percent 2 6 5 4 3" xfId="30995"/>
    <cellStyle name="Percent 2 6 5 5" xfId="30996"/>
    <cellStyle name="Percent 2 6 5 5 2" xfId="30997"/>
    <cellStyle name="Percent 2 6 5 5 2 2" xfId="30998"/>
    <cellStyle name="Percent 2 6 5 5 3" xfId="30999"/>
    <cellStyle name="Percent 2 6 5 6" xfId="31000"/>
    <cellStyle name="Percent 2 6 5 6 2" xfId="31001"/>
    <cellStyle name="Percent 2 6 5 7" xfId="31002"/>
    <cellStyle name="Percent 2 6 5 7 2" xfId="37338"/>
    <cellStyle name="Percent 2 6 5 8" xfId="31003"/>
    <cellStyle name="Percent 2 6 6" xfId="184"/>
    <cellStyle name="Percent 2 6 7" xfId="31004"/>
    <cellStyle name="Percent 2 6 7 2" xfId="31005"/>
    <cellStyle name="Percent 2 6 7 2 2" xfId="31006"/>
    <cellStyle name="Percent 2 6 7 2 2 2" xfId="31007"/>
    <cellStyle name="Percent 2 6 7 2 2 3" xfId="31008"/>
    <cellStyle name="Percent 2 6 7 2 3" xfId="31009"/>
    <cellStyle name="Percent 2 6 7 2 3 2" xfId="31010"/>
    <cellStyle name="Percent 2 6 7 2 4" xfId="31011"/>
    <cellStyle name="Percent 2 6 7 3" xfId="31012"/>
    <cellStyle name="Percent 2 6 7 3 2" xfId="31013"/>
    <cellStyle name="Percent 2 6 7 3 2 2" xfId="31014"/>
    <cellStyle name="Percent 2 6 7 3 3" xfId="31015"/>
    <cellStyle name="Percent 2 6 7 4" xfId="31016"/>
    <cellStyle name="Percent 2 6 7 4 2" xfId="31017"/>
    <cellStyle name="Percent 2 6 7 4 3" xfId="31018"/>
    <cellStyle name="Percent 2 6 7 5" xfId="31019"/>
    <cellStyle name="Percent 2 6 7 5 2" xfId="31020"/>
    <cellStyle name="Percent 2 6 7 6" xfId="31021"/>
    <cellStyle name="Percent 2 6 7 6 2" xfId="37339"/>
    <cellStyle name="Percent 2 6 7 7" xfId="31022"/>
    <cellStyle name="Percent 2 6 8" xfId="31023"/>
    <cellStyle name="Percent 2 6 8 2" xfId="31024"/>
    <cellStyle name="Percent 2 6 8 2 2" xfId="31025"/>
    <cellStyle name="Percent 2 6 8 2 2 2" xfId="31026"/>
    <cellStyle name="Percent 2 6 8 2 3" xfId="31027"/>
    <cellStyle name="Percent 2 6 8 3" xfId="31028"/>
    <cellStyle name="Percent 2 6 8 3 2" xfId="31029"/>
    <cellStyle name="Percent 2 6 8 4" xfId="31030"/>
    <cellStyle name="Percent 2 6 9" xfId="31031"/>
    <cellStyle name="Percent 2 6 9 2" xfId="31032"/>
    <cellStyle name="Percent 2 6 9 2 2" xfId="31033"/>
    <cellStyle name="Percent 2 6 9 3" xfId="31034"/>
    <cellStyle name="Percent 2 7" xfId="31035"/>
    <cellStyle name="Percent 2 7 10" xfId="31036"/>
    <cellStyle name="Percent 2 7 2" xfId="31037"/>
    <cellStyle name="Percent 2 7 2 2" xfId="31038"/>
    <cellStyle name="Percent 2 7 2 2 2" xfId="31039"/>
    <cellStyle name="Percent 2 7 2 2 2 2" xfId="31040"/>
    <cellStyle name="Percent 2 7 2 2 2 2 2" xfId="31041"/>
    <cellStyle name="Percent 2 7 2 2 2 2 2 2" xfId="31042"/>
    <cellStyle name="Percent 2 7 2 2 2 2 2 3" xfId="31043"/>
    <cellStyle name="Percent 2 7 2 2 2 2 3" xfId="31044"/>
    <cellStyle name="Percent 2 7 2 2 2 2 3 2" xfId="31045"/>
    <cellStyle name="Percent 2 7 2 2 2 2 4" xfId="31046"/>
    <cellStyle name="Percent 2 7 2 2 2 3" xfId="31047"/>
    <cellStyle name="Percent 2 7 2 2 2 3 2" xfId="31048"/>
    <cellStyle name="Percent 2 7 2 2 2 3 2 2" xfId="31049"/>
    <cellStyle name="Percent 2 7 2 2 2 3 3" xfId="31050"/>
    <cellStyle name="Percent 2 7 2 2 2 4" xfId="31051"/>
    <cellStyle name="Percent 2 7 2 2 2 4 2" xfId="31052"/>
    <cellStyle name="Percent 2 7 2 2 2 4 3" xfId="31053"/>
    <cellStyle name="Percent 2 7 2 2 2 5" xfId="31054"/>
    <cellStyle name="Percent 2 7 2 2 2 5 2" xfId="31055"/>
    <cellStyle name="Percent 2 7 2 2 2 6" xfId="31056"/>
    <cellStyle name="Percent 2 7 2 2 2 6 2" xfId="37340"/>
    <cellStyle name="Percent 2 7 2 2 2 7" xfId="31057"/>
    <cellStyle name="Percent 2 7 2 2 3" xfId="31058"/>
    <cellStyle name="Percent 2 7 2 2 3 2" xfId="31059"/>
    <cellStyle name="Percent 2 7 2 2 3 2 2" xfId="31060"/>
    <cellStyle name="Percent 2 7 2 2 3 2 2 2" xfId="31061"/>
    <cellStyle name="Percent 2 7 2 2 3 2 3" xfId="31062"/>
    <cellStyle name="Percent 2 7 2 2 3 3" xfId="31063"/>
    <cellStyle name="Percent 2 7 2 2 3 3 2" xfId="31064"/>
    <cellStyle name="Percent 2 7 2 2 3 4" xfId="31065"/>
    <cellStyle name="Percent 2 7 2 2 4" xfId="31066"/>
    <cellStyle name="Percent 2 7 2 2 4 2" xfId="31067"/>
    <cellStyle name="Percent 2 7 2 2 4 2 2" xfId="31068"/>
    <cellStyle name="Percent 2 7 2 2 4 3" xfId="31069"/>
    <cellStyle name="Percent 2 7 2 2 5" xfId="31070"/>
    <cellStyle name="Percent 2 7 2 2 5 2" xfId="31071"/>
    <cellStyle name="Percent 2 7 2 2 5 2 2" xfId="31072"/>
    <cellStyle name="Percent 2 7 2 2 5 3" xfId="31073"/>
    <cellStyle name="Percent 2 7 2 2 6" xfId="31074"/>
    <cellStyle name="Percent 2 7 2 2 6 2" xfId="31075"/>
    <cellStyle name="Percent 2 7 2 2 7" xfId="31076"/>
    <cellStyle name="Percent 2 7 2 2 7 2" xfId="37341"/>
    <cellStyle name="Percent 2 7 2 2 8" xfId="31077"/>
    <cellStyle name="Percent 2 7 2 3" xfId="31078"/>
    <cellStyle name="Percent 2 7 2 3 2" xfId="31079"/>
    <cellStyle name="Percent 2 7 2 3 2 2" xfId="31080"/>
    <cellStyle name="Percent 2 7 2 3 2 2 2" xfId="31081"/>
    <cellStyle name="Percent 2 7 2 3 2 2 3" xfId="31082"/>
    <cellStyle name="Percent 2 7 2 3 2 3" xfId="31083"/>
    <cellStyle name="Percent 2 7 2 3 2 3 2" xfId="31084"/>
    <cellStyle name="Percent 2 7 2 3 2 4" xfId="31085"/>
    <cellStyle name="Percent 2 7 2 3 3" xfId="31086"/>
    <cellStyle name="Percent 2 7 2 3 3 2" xfId="31087"/>
    <cellStyle name="Percent 2 7 2 3 3 2 2" xfId="31088"/>
    <cellStyle name="Percent 2 7 2 3 3 3" xfId="31089"/>
    <cellStyle name="Percent 2 7 2 3 4" xfId="31090"/>
    <cellStyle name="Percent 2 7 2 3 4 2" xfId="31091"/>
    <cellStyle name="Percent 2 7 2 3 4 3" xfId="31092"/>
    <cellStyle name="Percent 2 7 2 3 5" xfId="31093"/>
    <cellStyle name="Percent 2 7 2 3 5 2" xfId="31094"/>
    <cellStyle name="Percent 2 7 2 3 6" xfId="31095"/>
    <cellStyle name="Percent 2 7 2 3 6 2" xfId="37342"/>
    <cellStyle name="Percent 2 7 2 3 7" xfId="31096"/>
    <cellStyle name="Percent 2 7 2 4" xfId="31097"/>
    <cellStyle name="Percent 2 7 2 4 2" xfId="31098"/>
    <cellStyle name="Percent 2 7 2 4 2 2" xfId="31099"/>
    <cellStyle name="Percent 2 7 2 4 2 2 2" xfId="31100"/>
    <cellStyle name="Percent 2 7 2 4 2 3" xfId="31101"/>
    <cellStyle name="Percent 2 7 2 4 3" xfId="31102"/>
    <cellStyle name="Percent 2 7 2 4 3 2" xfId="31103"/>
    <cellStyle name="Percent 2 7 2 4 4" xfId="31104"/>
    <cellStyle name="Percent 2 7 2 5" xfId="31105"/>
    <cellStyle name="Percent 2 7 2 5 2" xfId="31106"/>
    <cellStyle name="Percent 2 7 2 5 2 2" xfId="31107"/>
    <cellStyle name="Percent 2 7 2 5 3" xfId="31108"/>
    <cellStyle name="Percent 2 7 2 6" xfId="31109"/>
    <cellStyle name="Percent 2 7 2 6 2" xfId="31110"/>
    <cellStyle name="Percent 2 7 2 6 2 2" xfId="31111"/>
    <cellStyle name="Percent 2 7 2 6 3" xfId="31112"/>
    <cellStyle name="Percent 2 7 2 7" xfId="31113"/>
    <cellStyle name="Percent 2 7 2 7 2" xfId="31114"/>
    <cellStyle name="Percent 2 7 2 8" xfId="31115"/>
    <cellStyle name="Percent 2 7 2 8 2" xfId="37343"/>
    <cellStyle name="Percent 2 7 2 9" xfId="31116"/>
    <cellStyle name="Percent 2 7 3" xfId="31117"/>
    <cellStyle name="Percent 2 7 3 2" xfId="31118"/>
    <cellStyle name="Percent 2 7 3 2 2" xfId="31119"/>
    <cellStyle name="Percent 2 7 3 2 2 2" xfId="31120"/>
    <cellStyle name="Percent 2 7 3 2 2 2 2" xfId="31121"/>
    <cellStyle name="Percent 2 7 3 2 2 2 3" xfId="31122"/>
    <cellStyle name="Percent 2 7 3 2 2 3" xfId="31123"/>
    <cellStyle name="Percent 2 7 3 2 2 3 2" xfId="31124"/>
    <cellStyle name="Percent 2 7 3 2 2 4" xfId="31125"/>
    <cellStyle name="Percent 2 7 3 2 3" xfId="31126"/>
    <cellStyle name="Percent 2 7 3 2 3 2" xfId="31127"/>
    <cellStyle name="Percent 2 7 3 2 3 2 2" xfId="31128"/>
    <cellStyle name="Percent 2 7 3 2 3 3" xfId="31129"/>
    <cellStyle name="Percent 2 7 3 2 4" xfId="31130"/>
    <cellStyle name="Percent 2 7 3 2 4 2" xfId="31131"/>
    <cellStyle name="Percent 2 7 3 2 4 3" xfId="31132"/>
    <cellStyle name="Percent 2 7 3 2 5" xfId="31133"/>
    <cellStyle name="Percent 2 7 3 2 5 2" xfId="31134"/>
    <cellStyle name="Percent 2 7 3 2 6" xfId="31135"/>
    <cellStyle name="Percent 2 7 3 2 6 2" xfId="37344"/>
    <cellStyle name="Percent 2 7 3 2 7" xfId="31136"/>
    <cellStyle name="Percent 2 7 3 3" xfId="31137"/>
    <cellStyle name="Percent 2 7 3 3 2" xfId="31138"/>
    <cellStyle name="Percent 2 7 3 3 2 2" xfId="31139"/>
    <cellStyle name="Percent 2 7 3 3 2 2 2" xfId="31140"/>
    <cellStyle name="Percent 2 7 3 3 2 3" xfId="31141"/>
    <cellStyle name="Percent 2 7 3 3 3" xfId="31142"/>
    <cellStyle name="Percent 2 7 3 3 3 2" xfId="31143"/>
    <cellStyle name="Percent 2 7 3 3 4" xfId="31144"/>
    <cellStyle name="Percent 2 7 3 4" xfId="31145"/>
    <cellStyle name="Percent 2 7 3 4 2" xfId="31146"/>
    <cellStyle name="Percent 2 7 3 4 2 2" xfId="31147"/>
    <cellStyle name="Percent 2 7 3 4 3" xfId="31148"/>
    <cellStyle name="Percent 2 7 3 5" xfId="31149"/>
    <cellStyle name="Percent 2 7 3 5 2" xfId="31150"/>
    <cellStyle name="Percent 2 7 3 5 2 2" xfId="31151"/>
    <cellStyle name="Percent 2 7 3 5 3" xfId="31152"/>
    <cellStyle name="Percent 2 7 3 6" xfId="31153"/>
    <cellStyle name="Percent 2 7 3 6 2" xfId="31154"/>
    <cellStyle name="Percent 2 7 3 7" xfId="31155"/>
    <cellStyle name="Percent 2 7 3 7 2" xfId="37345"/>
    <cellStyle name="Percent 2 7 3 8" xfId="31156"/>
    <cellStyle name="Percent 2 7 4" xfId="31157"/>
    <cellStyle name="Percent 2 7 4 2" xfId="31158"/>
    <cellStyle name="Percent 2 7 4 2 2" xfId="31159"/>
    <cellStyle name="Percent 2 7 4 2 2 2" xfId="31160"/>
    <cellStyle name="Percent 2 7 4 2 2 3" xfId="31161"/>
    <cellStyle name="Percent 2 7 4 2 3" xfId="31162"/>
    <cellStyle name="Percent 2 7 4 2 3 2" xfId="31163"/>
    <cellStyle name="Percent 2 7 4 2 4" xfId="31164"/>
    <cellStyle name="Percent 2 7 4 3" xfId="31165"/>
    <cellStyle name="Percent 2 7 4 3 2" xfId="31166"/>
    <cellStyle name="Percent 2 7 4 3 2 2" xfId="31167"/>
    <cellStyle name="Percent 2 7 4 3 3" xfId="31168"/>
    <cellStyle name="Percent 2 7 4 4" xfId="31169"/>
    <cellStyle name="Percent 2 7 4 4 2" xfId="31170"/>
    <cellStyle name="Percent 2 7 4 4 3" xfId="31171"/>
    <cellStyle name="Percent 2 7 4 5" xfId="31172"/>
    <cellStyle name="Percent 2 7 4 5 2" xfId="31173"/>
    <cellStyle name="Percent 2 7 4 6" xfId="31174"/>
    <cellStyle name="Percent 2 7 4 6 2" xfId="37346"/>
    <cellStyle name="Percent 2 7 4 7" xfId="31175"/>
    <cellStyle name="Percent 2 7 5" xfId="31176"/>
    <cellStyle name="Percent 2 7 5 2" xfId="31177"/>
    <cellStyle name="Percent 2 7 5 2 2" xfId="31178"/>
    <cellStyle name="Percent 2 7 5 2 2 2" xfId="31179"/>
    <cellStyle name="Percent 2 7 5 2 3" xfId="31180"/>
    <cellStyle name="Percent 2 7 5 3" xfId="31181"/>
    <cellStyle name="Percent 2 7 5 3 2" xfId="31182"/>
    <cellStyle name="Percent 2 7 5 4" xfId="31183"/>
    <cellStyle name="Percent 2 7 6" xfId="31184"/>
    <cellStyle name="Percent 2 7 6 2" xfId="31185"/>
    <cellStyle name="Percent 2 7 6 2 2" xfId="31186"/>
    <cellStyle name="Percent 2 7 6 3" xfId="31187"/>
    <cellStyle name="Percent 2 7 7" xfId="31188"/>
    <cellStyle name="Percent 2 7 7 2" xfId="31189"/>
    <cellStyle name="Percent 2 7 7 2 2" xfId="31190"/>
    <cellStyle name="Percent 2 7 7 3" xfId="31191"/>
    <cellStyle name="Percent 2 7 8" xfId="31192"/>
    <cellStyle name="Percent 2 7 8 2" xfId="31193"/>
    <cellStyle name="Percent 2 7 9" xfId="31194"/>
    <cellStyle name="Percent 2 7 9 2" xfId="37347"/>
    <cellStyle name="Percent 2 8" xfId="31195"/>
    <cellStyle name="Percent 2 8 2" xfId="31196"/>
    <cellStyle name="Percent 2 8 2 2" xfId="31197"/>
    <cellStyle name="Percent 2 8 2 2 2" xfId="31198"/>
    <cellStyle name="Percent 2 8 2 2 2 2" xfId="31199"/>
    <cellStyle name="Percent 2 8 2 2 2 2 2" xfId="31200"/>
    <cellStyle name="Percent 2 8 2 2 2 2 3" xfId="31201"/>
    <cellStyle name="Percent 2 8 2 2 2 3" xfId="31202"/>
    <cellStyle name="Percent 2 8 2 2 2 3 2" xfId="31203"/>
    <cellStyle name="Percent 2 8 2 2 2 4" xfId="31204"/>
    <cellStyle name="Percent 2 8 2 2 3" xfId="31205"/>
    <cellStyle name="Percent 2 8 2 2 3 2" xfId="31206"/>
    <cellStyle name="Percent 2 8 2 2 3 2 2" xfId="31207"/>
    <cellStyle name="Percent 2 8 2 2 3 3" xfId="31208"/>
    <cellStyle name="Percent 2 8 2 2 4" xfId="31209"/>
    <cellStyle name="Percent 2 8 2 2 4 2" xfId="31210"/>
    <cellStyle name="Percent 2 8 2 2 4 3" xfId="31211"/>
    <cellStyle name="Percent 2 8 2 2 5" xfId="31212"/>
    <cellStyle name="Percent 2 8 2 2 5 2" xfId="31213"/>
    <cellStyle name="Percent 2 8 2 2 6" xfId="31214"/>
    <cellStyle name="Percent 2 8 2 2 6 2" xfId="37348"/>
    <cellStyle name="Percent 2 8 2 2 7" xfId="31215"/>
    <cellStyle name="Percent 2 8 2 3" xfId="31216"/>
    <cellStyle name="Percent 2 8 2 3 2" xfId="31217"/>
    <cellStyle name="Percent 2 8 2 3 2 2" xfId="31218"/>
    <cellStyle name="Percent 2 8 2 3 2 2 2" xfId="31219"/>
    <cellStyle name="Percent 2 8 2 3 2 3" xfId="31220"/>
    <cellStyle name="Percent 2 8 2 3 3" xfId="31221"/>
    <cellStyle name="Percent 2 8 2 3 3 2" xfId="31222"/>
    <cellStyle name="Percent 2 8 2 3 4" xfId="31223"/>
    <cellStyle name="Percent 2 8 2 4" xfId="31224"/>
    <cellStyle name="Percent 2 8 2 4 2" xfId="31225"/>
    <cellStyle name="Percent 2 8 2 4 2 2" xfId="31226"/>
    <cellStyle name="Percent 2 8 2 4 3" xfId="31227"/>
    <cellStyle name="Percent 2 8 2 5" xfId="31228"/>
    <cellStyle name="Percent 2 8 2 5 2" xfId="31229"/>
    <cellStyle name="Percent 2 8 2 5 2 2" xfId="31230"/>
    <cellStyle name="Percent 2 8 2 5 3" xfId="31231"/>
    <cellStyle name="Percent 2 8 2 6" xfId="31232"/>
    <cellStyle name="Percent 2 8 2 6 2" xfId="31233"/>
    <cellStyle name="Percent 2 8 2 7" xfId="31234"/>
    <cellStyle name="Percent 2 8 2 7 2" xfId="37349"/>
    <cellStyle name="Percent 2 8 2 8" xfId="31235"/>
    <cellStyle name="Percent 2 8 3" xfId="31236"/>
    <cellStyle name="Percent 2 8 3 2" xfId="31237"/>
    <cellStyle name="Percent 2 8 3 2 2" xfId="31238"/>
    <cellStyle name="Percent 2 8 3 2 2 2" xfId="31239"/>
    <cellStyle name="Percent 2 8 3 2 2 3" xfId="31240"/>
    <cellStyle name="Percent 2 8 3 2 3" xfId="31241"/>
    <cellStyle name="Percent 2 8 3 2 3 2" xfId="31242"/>
    <cellStyle name="Percent 2 8 3 2 4" xfId="31243"/>
    <cellStyle name="Percent 2 8 3 3" xfId="31244"/>
    <cellStyle name="Percent 2 8 3 3 2" xfId="31245"/>
    <cellStyle name="Percent 2 8 3 3 2 2" xfId="31246"/>
    <cellStyle name="Percent 2 8 3 3 3" xfId="31247"/>
    <cellStyle name="Percent 2 8 3 4" xfId="31248"/>
    <cellStyle name="Percent 2 8 3 4 2" xfId="31249"/>
    <cellStyle name="Percent 2 8 3 4 3" xfId="31250"/>
    <cellStyle name="Percent 2 8 3 5" xfId="31251"/>
    <cellStyle name="Percent 2 8 3 5 2" xfId="31252"/>
    <cellStyle name="Percent 2 8 3 6" xfId="31253"/>
    <cellStyle name="Percent 2 8 3 6 2" xfId="37350"/>
    <cellStyle name="Percent 2 8 3 7" xfId="31254"/>
    <cellStyle name="Percent 2 8 4" xfId="31255"/>
    <cellStyle name="Percent 2 8 4 2" xfId="31256"/>
    <cellStyle name="Percent 2 8 4 2 2" xfId="31257"/>
    <cellStyle name="Percent 2 8 4 2 2 2" xfId="31258"/>
    <cellStyle name="Percent 2 8 4 2 3" xfId="31259"/>
    <cellStyle name="Percent 2 8 4 3" xfId="31260"/>
    <cellStyle name="Percent 2 8 4 3 2" xfId="31261"/>
    <cellStyle name="Percent 2 8 4 4" xfId="31262"/>
    <cellStyle name="Percent 2 8 5" xfId="31263"/>
    <cellStyle name="Percent 2 8 5 2" xfId="31264"/>
    <cellStyle name="Percent 2 8 5 2 2" xfId="31265"/>
    <cellStyle name="Percent 2 8 5 3" xfId="31266"/>
    <cellStyle name="Percent 2 8 6" xfId="31267"/>
    <cellStyle name="Percent 2 8 6 2" xfId="31268"/>
    <cellStyle name="Percent 2 8 6 2 2" xfId="31269"/>
    <cellStyle name="Percent 2 8 6 3" xfId="31270"/>
    <cellStyle name="Percent 2 8 7" xfId="31271"/>
    <cellStyle name="Percent 2 8 7 2" xfId="31272"/>
    <cellStyle name="Percent 2 8 8" xfId="31273"/>
    <cellStyle name="Percent 2 8 8 2" xfId="37351"/>
    <cellStyle name="Percent 2 8 9" xfId="31274"/>
    <cellStyle name="Percent 2 9" xfId="31275"/>
    <cellStyle name="Percent 2 9 2" xfId="31276"/>
    <cellStyle name="Percent 2 9 2 2" xfId="31277"/>
    <cellStyle name="Percent 2 9 2 2 2" xfId="31278"/>
    <cellStyle name="Percent 2 9 2 2 2 2" xfId="31279"/>
    <cellStyle name="Percent 2 9 2 2 2 2 2" xfId="31280"/>
    <cellStyle name="Percent 2 9 2 2 2 2 3" xfId="31281"/>
    <cellStyle name="Percent 2 9 2 2 2 3" xfId="31282"/>
    <cellStyle name="Percent 2 9 2 2 2 3 2" xfId="31283"/>
    <cellStyle name="Percent 2 9 2 2 2 4" xfId="31284"/>
    <cellStyle name="Percent 2 9 2 2 3" xfId="31285"/>
    <cellStyle name="Percent 2 9 2 2 3 2" xfId="31286"/>
    <cellStyle name="Percent 2 9 2 2 3 2 2" xfId="31287"/>
    <cellStyle name="Percent 2 9 2 2 3 3" xfId="31288"/>
    <cellStyle name="Percent 2 9 2 2 4" xfId="31289"/>
    <cellStyle name="Percent 2 9 2 2 4 2" xfId="31290"/>
    <cellStyle name="Percent 2 9 2 2 4 3" xfId="31291"/>
    <cellStyle name="Percent 2 9 2 2 5" xfId="31292"/>
    <cellStyle name="Percent 2 9 2 2 5 2" xfId="31293"/>
    <cellStyle name="Percent 2 9 2 2 6" xfId="31294"/>
    <cellStyle name="Percent 2 9 2 2 6 2" xfId="37352"/>
    <cellStyle name="Percent 2 9 2 2 7" xfId="31295"/>
    <cellStyle name="Percent 2 9 2 3" xfId="31296"/>
    <cellStyle name="Percent 2 9 2 3 2" xfId="31297"/>
    <cellStyle name="Percent 2 9 2 3 2 2" xfId="31298"/>
    <cellStyle name="Percent 2 9 2 3 2 2 2" xfId="31299"/>
    <cellStyle name="Percent 2 9 2 3 2 3" xfId="31300"/>
    <cellStyle name="Percent 2 9 2 3 3" xfId="31301"/>
    <cellStyle name="Percent 2 9 2 3 3 2" xfId="31302"/>
    <cellStyle name="Percent 2 9 2 3 4" xfId="31303"/>
    <cellStyle name="Percent 2 9 2 4" xfId="31304"/>
    <cellStyle name="Percent 2 9 2 4 2" xfId="31305"/>
    <cellStyle name="Percent 2 9 2 4 2 2" xfId="31306"/>
    <cellStyle name="Percent 2 9 2 4 3" xfId="31307"/>
    <cellStyle name="Percent 2 9 2 5" xfId="31308"/>
    <cellStyle name="Percent 2 9 2 5 2" xfId="31309"/>
    <cellStyle name="Percent 2 9 2 5 2 2" xfId="31310"/>
    <cellStyle name="Percent 2 9 2 5 3" xfId="31311"/>
    <cellStyle name="Percent 2 9 2 6" xfId="31312"/>
    <cellStyle name="Percent 2 9 2 6 2" xfId="31313"/>
    <cellStyle name="Percent 2 9 2 7" xfId="31314"/>
    <cellStyle name="Percent 2 9 2 7 2" xfId="37353"/>
    <cellStyle name="Percent 2 9 2 8" xfId="31315"/>
    <cellStyle name="Percent 2 9 3" xfId="31316"/>
    <cellStyle name="Percent 2 9 3 2" xfId="31317"/>
    <cellStyle name="Percent 2 9 3 2 2" xfId="31318"/>
    <cellStyle name="Percent 2 9 3 2 2 2" xfId="31319"/>
    <cellStyle name="Percent 2 9 3 2 2 3" xfId="31320"/>
    <cellStyle name="Percent 2 9 3 2 3" xfId="31321"/>
    <cellStyle name="Percent 2 9 3 2 3 2" xfId="31322"/>
    <cellStyle name="Percent 2 9 3 2 4" xfId="31323"/>
    <cellStyle name="Percent 2 9 3 3" xfId="31324"/>
    <cellStyle name="Percent 2 9 3 3 2" xfId="31325"/>
    <cellStyle name="Percent 2 9 3 3 2 2" xfId="31326"/>
    <cellStyle name="Percent 2 9 3 3 3" xfId="31327"/>
    <cellStyle name="Percent 2 9 3 4" xfId="31328"/>
    <cellStyle name="Percent 2 9 3 4 2" xfId="31329"/>
    <cellStyle name="Percent 2 9 3 4 3" xfId="31330"/>
    <cellStyle name="Percent 2 9 3 5" xfId="31331"/>
    <cellStyle name="Percent 2 9 3 5 2" xfId="31332"/>
    <cellStyle name="Percent 2 9 3 6" xfId="31333"/>
    <cellStyle name="Percent 2 9 3 6 2" xfId="37354"/>
    <cellStyle name="Percent 2 9 3 7" xfId="31334"/>
    <cellStyle name="Percent 2 9 4" xfId="31335"/>
    <cellStyle name="Percent 2 9 4 2" xfId="31336"/>
    <cellStyle name="Percent 2 9 4 2 2" xfId="31337"/>
    <cellStyle name="Percent 2 9 4 2 2 2" xfId="31338"/>
    <cellStyle name="Percent 2 9 4 2 3" xfId="31339"/>
    <cellStyle name="Percent 2 9 4 3" xfId="31340"/>
    <cellStyle name="Percent 2 9 4 3 2" xfId="31341"/>
    <cellStyle name="Percent 2 9 4 4" xfId="31342"/>
    <cellStyle name="Percent 2 9 5" xfId="31343"/>
    <cellStyle name="Percent 2 9 5 2" xfId="31344"/>
    <cellStyle name="Percent 2 9 5 2 2" xfId="31345"/>
    <cellStyle name="Percent 2 9 5 3" xfId="31346"/>
    <cellStyle name="Percent 2 9 6" xfId="31347"/>
    <cellStyle name="Percent 2 9 6 2" xfId="31348"/>
    <cellStyle name="Percent 2 9 6 2 2" xfId="31349"/>
    <cellStyle name="Percent 2 9 6 3" xfId="31350"/>
    <cellStyle name="Percent 2 9 7" xfId="31351"/>
    <cellStyle name="Percent 2 9 7 2" xfId="31352"/>
    <cellStyle name="Percent 2 9 8" xfId="31353"/>
    <cellStyle name="Percent 2 9 8 2" xfId="37355"/>
    <cellStyle name="Percent 2 9 9" xfId="31354"/>
    <cellStyle name="Percent 3" xfId="151"/>
    <cellStyle name="Percent 3 10" xfId="31355"/>
    <cellStyle name="Percent 3 10 2" xfId="31356"/>
    <cellStyle name="Percent 3 10 2 2" xfId="31357"/>
    <cellStyle name="Percent 3 10 2 2 2" xfId="31358"/>
    <cellStyle name="Percent 3 10 2 2 2 2" xfId="31359"/>
    <cellStyle name="Percent 3 10 2 2 2 3" xfId="31360"/>
    <cellStyle name="Percent 3 10 2 2 3" xfId="31361"/>
    <cellStyle name="Percent 3 10 2 2 3 2" xfId="31362"/>
    <cellStyle name="Percent 3 10 2 2 4" xfId="31363"/>
    <cellStyle name="Percent 3 10 2 3" xfId="31364"/>
    <cellStyle name="Percent 3 10 2 3 2" xfId="31365"/>
    <cellStyle name="Percent 3 10 2 3 2 2" xfId="31366"/>
    <cellStyle name="Percent 3 10 2 3 3" xfId="31367"/>
    <cellStyle name="Percent 3 10 2 4" xfId="31368"/>
    <cellStyle name="Percent 3 10 2 4 2" xfId="31369"/>
    <cellStyle name="Percent 3 10 2 4 3" xfId="31370"/>
    <cellStyle name="Percent 3 10 2 5" xfId="31371"/>
    <cellStyle name="Percent 3 10 2 5 2" xfId="31372"/>
    <cellStyle name="Percent 3 10 2 6" xfId="31373"/>
    <cellStyle name="Percent 3 10 2 6 2" xfId="37356"/>
    <cellStyle name="Percent 3 10 2 7" xfId="31374"/>
    <cellStyle name="Percent 3 10 3" xfId="31375"/>
    <cellStyle name="Percent 3 10 3 2" xfId="31376"/>
    <cellStyle name="Percent 3 10 3 2 2" xfId="31377"/>
    <cellStyle name="Percent 3 10 3 2 2 2" xfId="31378"/>
    <cellStyle name="Percent 3 10 3 2 3" xfId="31379"/>
    <cellStyle name="Percent 3 10 3 3" xfId="31380"/>
    <cellStyle name="Percent 3 10 3 3 2" xfId="31381"/>
    <cellStyle name="Percent 3 10 3 4" xfId="31382"/>
    <cellStyle name="Percent 3 10 4" xfId="31383"/>
    <cellStyle name="Percent 3 10 4 2" xfId="31384"/>
    <cellStyle name="Percent 3 10 4 2 2" xfId="31385"/>
    <cellStyle name="Percent 3 10 4 3" xfId="31386"/>
    <cellStyle name="Percent 3 10 5" xfId="31387"/>
    <cellStyle name="Percent 3 10 5 2" xfId="31388"/>
    <cellStyle name="Percent 3 10 5 2 2" xfId="31389"/>
    <cellStyle name="Percent 3 10 5 3" xfId="31390"/>
    <cellStyle name="Percent 3 10 6" xfId="31391"/>
    <cellStyle name="Percent 3 10 6 2" xfId="31392"/>
    <cellStyle name="Percent 3 10 7" xfId="31393"/>
    <cellStyle name="Percent 3 10 7 2" xfId="37357"/>
    <cellStyle name="Percent 3 10 8" xfId="31394"/>
    <cellStyle name="Percent 3 11" xfId="31395"/>
    <cellStyle name="Percent 3 11 2" xfId="31396"/>
    <cellStyle name="Percent 3 11 2 2" xfId="31397"/>
    <cellStyle name="Percent 3 11 2 2 2" xfId="31398"/>
    <cellStyle name="Percent 3 11 2 2 2 2" xfId="31399"/>
    <cellStyle name="Percent 3 11 2 2 2 3" xfId="31400"/>
    <cellStyle name="Percent 3 11 2 2 3" xfId="31401"/>
    <cellStyle name="Percent 3 11 2 2 3 2" xfId="31402"/>
    <cellStyle name="Percent 3 11 2 2 4" xfId="31403"/>
    <cellStyle name="Percent 3 11 2 3" xfId="31404"/>
    <cellStyle name="Percent 3 11 2 3 2" xfId="31405"/>
    <cellStyle name="Percent 3 11 2 3 2 2" xfId="31406"/>
    <cellStyle name="Percent 3 11 2 3 3" xfId="31407"/>
    <cellStyle name="Percent 3 11 2 4" xfId="31408"/>
    <cellStyle name="Percent 3 11 2 4 2" xfId="31409"/>
    <cellStyle name="Percent 3 11 2 4 3" xfId="31410"/>
    <cellStyle name="Percent 3 11 2 5" xfId="31411"/>
    <cellStyle name="Percent 3 11 2 5 2" xfId="31412"/>
    <cellStyle name="Percent 3 11 2 6" xfId="31413"/>
    <cellStyle name="Percent 3 11 2 6 2" xfId="37358"/>
    <cellStyle name="Percent 3 11 2 7" xfId="31414"/>
    <cellStyle name="Percent 3 11 3" xfId="31415"/>
    <cellStyle name="Percent 3 11 3 2" xfId="31416"/>
    <cellStyle name="Percent 3 11 3 2 2" xfId="31417"/>
    <cellStyle name="Percent 3 11 3 2 2 2" xfId="31418"/>
    <cellStyle name="Percent 3 11 3 2 3" xfId="31419"/>
    <cellStyle name="Percent 3 11 3 3" xfId="31420"/>
    <cellStyle name="Percent 3 11 3 3 2" xfId="31421"/>
    <cellStyle name="Percent 3 11 3 4" xfId="31422"/>
    <cellStyle name="Percent 3 11 4" xfId="31423"/>
    <cellStyle name="Percent 3 11 4 2" xfId="31424"/>
    <cellStyle name="Percent 3 11 4 2 2" xfId="31425"/>
    <cellStyle name="Percent 3 11 4 3" xfId="31426"/>
    <cellStyle name="Percent 3 11 5" xfId="31427"/>
    <cellStyle name="Percent 3 11 5 2" xfId="31428"/>
    <cellStyle name="Percent 3 11 5 2 2" xfId="31429"/>
    <cellStyle name="Percent 3 11 5 3" xfId="31430"/>
    <cellStyle name="Percent 3 11 6" xfId="31431"/>
    <cellStyle name="Percent 3 11 6 2" xfId="31432"/>
    <cellStyle name="Percent 3 11 7" xfId="31433"/>
    <cellStyle name="Percent 3 11 7 2" xfId="37359"/>
    <cellStyle name="Percent 3 11 8" xfId="31434"/>
    <cellStyle name="Percent 3 12" xfId="31435"/>
    <cellStyle name="Percent 3 12 2" xfId="31436"/>
    <cellStyle name="Percent 3 12 2 2" xfId="31437"/>
    <cellStyle name="Percent 3 12 2 2 2" xfId="31438"/>
    <cellStyle name="Percent 3 12 2 2 2 2" xfId="31439"/>
    <cellStyle name="Percent 3 12 2 2 2 3" xfId="31440"/>
    <cellStyle name="Percent 3 12 2 2 3" xfId="31441"/>
    <cellStyle name="Percent 3 12 2 2 3 2" xfId="31442"/>
    <cellStyle name="Percent 3 12 2 2 4" xfId="31443"/>
    <cellStyle name="Percent 3 12 2 3" xfId="31444"/>
    <cellStyle name="Percent 3 12 2 3 2" xfId="31445"/>
    <cellStyle name="Percent 3 12 2 3 2 2" xfId="31446"/>
    <cellStyle name="Percent 3 12 2 3 3" xfId="31447"/>
    <cellStyle name="Percent 3 12 2 4" xfId="31448"/>
    <cellStyle name="Percent 3 12 2 4 2" xfId="31449"/>
    <cellStyle name="Percent 3 12 2 4 3" xfId="31450"/>
    <cellStyle name="Percent 3 12 2 5" xfId="31451"/>
    <cellStyle name="Percent 3 12 2 5 2" xfId="31452"/>
    <cellStyle name="Percent 3 12 2 6" xfId="31453"/>
    <cellStyle name="Percent 3 12 2 6 2" xfId="37360"/>
    <cellStyle name="Percent 3 12 2 7" xfId="31454"/>
    <cellStyle name="Percent 3 12 3" xfId="31455"/>
    <cellStyle name="Percent 3 12 3 2" xfId="31456"/>
    <cellStyle name="Percent 3 12 3 2 2" xfId="31457"/>
    <cellStyle name="Percent 3 12 3 2 2 2" xfId="31458"/>
    <cellStyle name="Percent 3 12 3 2 3" xfId="31459"/>
    <cellStyle name="Percent 3 12 3 3" xfId="31460"/>
    <cellStyle name="Percent 3 12 3 3 2" xfId="31461"/>
    <cellStyle name="Percent 3 12 3 4" xfId="31462"/>
    <cellStyle name="Percent 3 12 4" xfId="31463"/>
    <cellStyle name="Percent 3 12 4 2" xfId="31464"/>
    <cellStyle name="Percent 3 12 4 2 2" xfId="31465"/>
    <cellStyle name="Percent 3 12 4 3" xfId="31466"/>
    <cellStyle name="Percent 3 12 5" xfId="31467"/>
    <cellStyle name="Percent 3 12 5 2" xfId="31468"/>
    <cellStyle name="Percent 3 12 5 2 2" xfId="31469"/>
    <cellStyle name="Percent 3 12 5 3" xfId="31470"/>
    <cellStyle name="Percent 3 12 6" xfId="31471"/>
    <cellStyle name="Percent 3 12 6 2" xfId="31472"/>
    <cellStyle name="Percent 3 12 7" xfId="31473"/>
    <cellStyle name="Percent 3 12 7 2" xfId="37361"/>
    <cellStyle name="Percent 3 12 8" xfId="31474"/>
    <cellStyle name="Percent 3 13" xfId="31475"/>
    <cellStyle name="Percent 3 13 2" xfId="31476"/>
    <cellStyle name="Percent 3 13 2 2" xfId="31477"/>
    <cellStyle name="Percent 3 13 2 2 2" xfId="31478"/>
    <cellStyle name="Percent 3 13 2 2 3" xfId="31479"/>
    <cellStyle name="Percent 3 13 2 3" xfId="31480"/>
    <cellStyle name="Percent 3 13 2 3 2" xfId="31481"/>
    <cellStyle name="Percent 3 13 2 4" xfId="31482"/>
    <cellStyle name="Percent 3 13 3" xfId="31483"/>
    <cellStyle name="Percent 3 13 3 2" xfId="31484"/>
    <cellStyle name="Percent 3 13 3 2 2" xfId="31485"/>
    <cellStyle name="Percent 3 13 3 3" xfId="31486"/>
    <cellStyle name="Percent 3 13 4" xfId="31487"/>
    <cellStyle name="Percent 3 13 4 2" xfId="31488"/>
    <cellStyle name="Percent 3 13 4 3" xfId="31489"/>
    <cellStyle name="Percent 3 13 5" xfId="31490"/>
    <cellStyle name="Percent 3 13 5 2" xfId="31491"/>
    <cellStyle name="Percent 3 13 6" xfId="31492"/>
    <cellStyle name="Percent 3 13 6 2" xfId="37362"/>
    <cellStyle name="Percent 3 13 7" xfId="31493"/>
    <cellStyle name="Percent 3 14" xfId="31494"/>
    <cellStyle name="Percent 3 14 2" xfId="31495"/>
    <cellStyle name="Percent 3 14 2 2" xfId="31496"/>
    <cellStyle name="Percent 3 14 2 2 2" xfId="31497"/>
    <cellStyle name="Percent 3 14 2 3" xfId="31498"/>
    <cellStyle name="Percent 3 14 3" xfId="31499"/>
    <cellStyle name="Percent 3 14 3 2" xfId="31500"/>
    <cellStyle name="Percent 3 14 4" xfId="31501"/>
    <cellStyle name="Percent 3 15" xfId="31502"/>
    <cellStyle name="Percent 3 15 2" xfId="31503"/>
    <cellStyle name="Percent 3 15 2 2" xfId="31504"/>
    <cellStyle name="Percent 3 15 3" xfId="31505"/>
    <cellStyle name="Percent 3 16" xfId="31506"/>
    <cellStyle name="Percent 3 16 2" xfId="31507"/>
    <cellStyle name="Percent 3 16 2 2" xfId="31508"/>
    <cellStyle name="Percent 3 16 3" xfId="31509"/>
    <cellStyle name="Percent 3 17" xfId="31510"/>
    <cellStyle name="Percent 3 17 2" xfId="31511"/>
    <cellStyle name="Percent 3 18" xfId="31512"/>
    <cellStyle name="Percent 3 18 2" xfId="37363"/>
    <cellStyle name="Percent 3 19" xfId="31513"/>
    <cellStyle name="Percent 3 2" xfId="180"/>
    <cellStyle name="Percent 3 2 10" xfId="31514"/>
    <cellStyle name="Percent 3 2 10 2" xfId="31515"/>
    <cellStyle name="Percent 3 2 10 2 2" xfId="31516"/>
    <cellStyle name="Percent 3 2 10 2 2 2" xfId="31517"/>
    <cellStyle name="Percent 3 2 10 2 2 2 2" xfId="31518"/>
    <cellStyle name="Percent 3 2 10 2 2 2 3" xfId="31519"/>
    <cellStyle name="Percent 3 2 10 2 2 3" xfId="31520"/>
    <cellStyle name="Percent 3 2 10 2 2 3 2" xfId="31521"/>
    <cellStyle name="Percent 3 2 10 2 2 4" xfId="31522"/>
    <cellStyle name="Percent 3 2 10 2 3" xfId="31523"/>
    <cellStyle name="Percent 3 2 10 2 3 2" xfId="31524"/>
    <cellStyle name="Percent 3 2 10 2 3 2 2" xfId="31525"/>
    <cellStyle name="Percent 3 2 10 2 3 3" xfId="31526"/>
    <cellStyle name="Percent 3 2 10 2 4" xfId="31527"/>
    <cellStyle name="Percent 3 2 10 2 4 2" xfId="31528"/>
    <cellStyle name="Percent 3 2 10 2 4 3" xfId="31529"/>
    <cellStyle name="Percent 3 2 10 2 5" xfId="31530"/>
    <cellStyle name="Percent 3 2 10 2 5 2" xfId="31531"/>
    <cellStyle name="Percent 3 2 10 2 6" xfId="31532"/>
    <cellStyle name="Percent 3 2 10 2 6 2" xfId="37364"/>
    <cellStyle name="Percent 3 2 10 2 7" xfId="31533"/>
    <cellStyle name="Percent 3 2 10 3" xfId="31534"/>
    <cellStyle name="Percent 3 2 10 3 2" xfId="31535"/>
    <cellStyle name="Percent 3 2 10 3 2 2" xfId="31536"/>
    <cellStyle name="Percent 3 2 10 3 2 2 2" xfId="31537"/>
    <cellStyle name="Percent 3 2 10 3 2 3" xfId="31538"/>
    <cellStyle name="Percent 3 2 10 3 3" xfId="31539"/>
    <cellStyle name="Percent 3 2 10 3 3 2" xfId="31540"/>
    <cellStyle name="Percent 3 2 10 3 4" xfId="31541"/>
    <cellStyle name="Percent 3 2 10 4" xfId="31542"/>
    <cellStyle name="Percent 3 2 10 4 2" xfId="31543"/>
    <cellStyle name="Percent 3 2 10 4 2 2" xfId="31544"/>
    <cellStyle name="Percent 3 2 10 4 3" xfId="31545"/>
    <cellStyle name="Percent 3 2 10 5" xfId="31546"/>
    <cellStyle name="Percent 3 2 10 5 2" xfId="31547"/>
    <cellStyle name="Percent 3 2 10 5 2 2" xfId="31548"/>
    <cellStyle name="Percent 3 2 10 5 3" xfId="31549"/>
    <cellStyle name="Percent 3 2 10 6" xfId="31550"/>
    <cellStyle name="Percent 3 2 10 6 2" xfId="31551"/>
    <cellStyle name="Percent 3 2 10 7" xfId="31552"/>
    <cellStyle name="Percent 3 2 10 7 2" xfId="37365"/>
    <cellStyle name="Percent 3 2 10 8" xfId="31553"/>
    <cellStyle name="Percent 3 2 11" xfId="31554"/>
    <cellStyle name="Percent 3 2 11 2" xfId="31555"/>
    <cellStyle name="Percent 3 2 11 2 2" xfId="31556"/>
    <cellStyle name="Percent 3 2 11 2 2 2" xfId="31557"/>
    <cellStyle name="Percent 3 2 11 2 2 2 2" xfId="31558"/>
    <cellStyle name="Percent 3 2 11 2 2 2 3" xfId="31559"/>
    <cellStyle name="Percent 3 2 11 2 2 3" xfId="31560"/>
    <cellStyle name="Percent 3 2 11 2 2 3 2" xfId="31561"/>
    <cellStyle name="Percent 3 2 11 2 2 4" xfId="31562"/>
    <cellStyle name="Percent 3 2 11 2 3" xfId="31563"/>
    <cellStyle name="Percent 3 2 11 2 3 2" xfId="31564"/>
    <cellStyle name="Percent 3 2 11 2 3 2 2" xfId="31565"/>
    <cellStyle name="Percent 3 2 11 2 3 3" xfId="31566"/>
    <cellStyle name="Percent 3 2 11 2 4" xfId="31567"/>
    <cellStyle name="Percent 3 2 11 2 4 2" xfId="31568"/>
    <cellStyle name="Percent 3 2 11 2 4 3" xfId="31569"/>
    <cellStyle name="Percent 3 2 11 2 5" xfId="31570"/>
    <cellStyle name="Percent 3 2 11 2 5 2" xfId="31571"/>
    <cellStyle name="Percent 3 2 11 2 6" xfId="31572"/>
    <cellStyle name="Percent 3 2 11 2 6 2" xfId="37366"/>
    <cellStyle name="Percent 3 2 11 2 7" xfId="31573"/>
    <cellStyle name="Percent 3 2 11 3" xfId="31574"/>
    <cellStyle name="Percent 3 2 11 3 2" xfId="31575"/>
    <cellStyle name="Percent 3 2 11 3 2 2" xfId="31576"/>
    <cellStyle name="Percent 3 2 11 3 2 2 2" xfId="31577"/>
    <cellStyle name="Percent 3 2 11 3 2 3" xfId="31578"/>
    <cellStyle name="Percent 3 2 11 3 3" xfId="31579"/>
    <cellStyle name="Percent 3 2 11 3 3 2" xfId="31580"/>
    <cellStyle name="Percent 3 2 11 3 4" xfId="31581"/>
    <cellStyle name="Percent 3 2 11 4" xfId="31582"/>
    <cellStyle name="Percent 3 2 11 4 2" xfId="31583"/>
    <cellStyle name="Percent 3 2 11 4 2 2" xfId="31584"/>
    <cellStyle name="Percent 3 2 11 4 3" xfId="31585"/>
    <cellStyle name="Percent 3 2 11 5" xfId="31586"/>
    <cellStyle name="Percent 3 2 11 5 2" xfId="31587"/>
    <cellStyle name="Percent 3 2 11 5 2 2" xfId="31588"/>
    <cellStyle name="Percent 3 2 11 5 3" xfId="31589"/>
    <cellStyle name="Percent 3 2 11 6" xfId="31590"/>
    <cellStyle name="Percent 3 2 11 6 2" xfId="31591"/>
    <cellStyle name="Percent 3 2 11 7" xfId="31592"/>
    <cellStyle name="Percent 3 2 11 7 2" xfId="37367"/>
    <cellStyle name="Percent 3 2 11 8" xfId="31593"/>
    <cellStyle name="Percent 3 2 12" xfId="31594"/>
    <cellStyle name="Percent 3 2 12 2" xfId="31595"/>
    <cellStyle name="Percent 3 2 12 2 2" xfId="31596"/>
    <cellStyle name="Percent 3 2 12 2 2 2" xfId="31597"/>
    <cellStyle name="Percent 3 2 12 2 2 3" xfId="31598"/>
    <cellStyle name="Percent 3 2 12 2 3" xfId="31599"/>
    <cellStyle name="Percent 3 2 12 2 3 2" xfId="31600"/>
    <cellStyle name="Percent 3 2 12 2 4" xfId="31601"/>
    <cellStyle name="Percent 3 2 12 3" xfId="31602"/>
    <cellStyle name="Percent 3 2 12 3 2" xfId="31603"/>
    <cellStyle name="Percent 3 2 12 3 2 2" xfId="31604"/>
    <cellStyle name="Percent 3 2 12 3 3" xfId="31605"/>
    <cellStyle name="Percent 3 2 12 4" xfId="31606"/>
    <cellStyle name="Percent 3 2 12 4 2" xfId="31607"/>
    <cellStyle name="Percent 3 2 12 4 3" xfId="31608"/>
    <cellStyle name="Percent 3 2 12 5" xfId="31609"/>
    <cellStyle name="Percent 3 2 12 5 2" xfId="31610"/>
    <cellStyle name="Percent 3 2 12 6" xfId="31611"/>
    <cellStyle name="Percent 3 2 12 6 2" xfId="37368"/>
    <cellStyle name="Percent 3 2 12 7" xfId="31612"/>
    <cellStyle name="Percent 3 2 13" xfId="31613"/>
    <cellStyle name="Percent 3 2 13 2" xfId="31614"/>
    <cellStyle name="Percent 3 2 13 2 2" xfId="31615"/>
    <cellStyle name="Percent 3 2 13 2 2 2" xfId="31616"/>
    <cellStyle name="Percent 3 2 13 2 3" xfId="31617"/>
    <cellStyle name="Percent 3 2 13 3" xfId="31618"/>
    <cellStyle name="Percent 3 2 13 3 2" xfId="31619"/>
    <cellStyle name="Percent 3 2 13 4" xfId="31620"/>
    <cellStyle name="Percent 3 2 14" xfId="31621"/>
    <cellStyle name="Percent 3 2 14 2" xfId="31622"/>
    <cellStyle name="Percent 3 2 14 2 2" xfId="31623"/>
    <cellStyle name="Percent 3 2 14 3" xfId="31624"/>
    <cellStyle name="Percent 3 2 15" xfId="31625"/>
    <cellStyle name="Percent 3 2 15 2" xfId="31626"/>
    <cellStyle name="Percent 3 2 15 2 2" xfId="31627"/>
    <cellStyle name="Percent 3 2 15 3" xfId="31628"/>
    <cellStyle name="Percent 3 2 16" xfId="31629"/>
    <cellStyle name="Percent 3 2 16 2" xfId="31630"/>
    <cellStyle name="Percent 3 2 17" xfId="31631"/>
    <cellStyle name="Percent 3 2 17 2" xfId="37369"/>
    <cellStyle name="Percent 3 2 18" xfId="31632"/>
    <cellStyle name="Percent 3 2 2" xfId="31633"/>
    <cellStyle name="Percent 3 2 2 10" xfId="31634"/>
    <cellStyle name="Percent 3 2 2 10 2" xfId="31635"/>
    <cellStyle name="Percent 3 2 2 10 2 2" xfId="31636"/>
    <cellStyle name="Percent 3 2 2 10 3" xfId="31637"/>
    <cellStyle name="Percent 3 2 2 11" xfId="31638"/>
    <cellStyle name="Percent 3 2 2 11 2" xfId="31639"/>
    <cellStyle name="Percent 3 2 2 11 2 2" xfId="31640"/>
    <cellStyle name="Percent 3 2 2 11 3" xfId="31641"/>
    <cellStyle name="Percent 3 2 2 12" xfId="31642"/>
    <cellStyle name="Percent 3 2 2 12 2" xfId="31643"/>
    <cellStyle name="Percent 3 2 2 13" xfId="31644"/>
    <cellStyle name="Percent 3 2 2 13 2" xfId="37370"/>
    <cellStyle name="Percent 3 2 2 14" xfId="31645"/>
    <cellStyle name="Percent 3 2 2 2" xfId="31646"/>
    <cellStyle name="Percent 3 2 2 2 10" xfId="31647"/>
    <cellStyle name="Percent 3 2 2 2 2" xfId="31648"/>
    <cellStyle name="Percent 3 2 2 2 2 2" xfId="31649"/>
    <cellStyle name="Percent 3 2 2 2 2 2 2" xfId="31650"/>
    <cellStyle name="Percent 3 2 2 2 2 2 2 2" xfId="31651"/>
    <cellStyle name="Percent 3 2 2 2 2 2 2 2 2" xfId="31652"/>
    <cellStyle name="Percent 3 2 2 2 2 2 2 2 2 2" xfId="31653"/>
    <cellStyle name="Percent 3 2 2 2 2 2 2 2 2 3" xfId="31654"/>
    <cellStyle name="Percent 3 2 2 2 2 2 2 2 3" xfId="31655"/>
    <cellStyle name="Percent 3 2 2 2 2 2 2 2 3 2" xfId="31656"/>
    <cellStyle name="Percent 3 2 2 2 2 2 2 2 4" xfId="31657"/>
    <cellStyle name="Percent 3 2 2 2 2 2 2 3" xfId="31658"/>
    <cellStyle name="Percent 3 2 2 2 2 2 2 3 2" xfId="31659"/>
    <cellStyle name="Percent 3 2 2 2 2 2 2 3 2 2" xfId="31660"/>
    <cellStyle name="Percent 3 2 2 2 2 2 2 3 3" xfId="31661"/>
    <cellStyle name="Percent 3 2 2 2 2 2 2 4" xfId="31662"/>
    <cellStyle name="Percent 3 2 2 2 2 2 2 4 2" xfId="31663"/>
    <cellStyle name="Percent 3 2 2 2 2 2 2 4 3" xfId="31664"/>
    <cellStyle name="Percent 3 2 2 2 2 2 2 5" xfId="31665"/>
    <cellStyle name="Percent 3 2 2 2 2 2 2 5 2" xfId="31666"/>
    <cellStyle name="Percent 3 2 2 2 2 2 2 6" xfId="31667"/>
    <cellStyle name="Percent 3 2 2 2 2 2 2 6 2" xfId="37371"/>
    <cellStyle name="Percent 3 2 2 2 2 2 2 7" xfId="31668"/>
    <cellStyle name="Percent 3 2 2 2 2 2 3" xfId="31669"/>
    <cellStyle name="Percent 3 2 2 2 2 2 3 2" xfId="31670"/>
    <cellStyle name="Percent 3 2 2 2 2 2 3 2 2" xfId="31671"/>
    <cellStyle name="Percent 3 2 2 2 2 2 3 2 2 2" xfId="31672"/>
    <cellStyle name="Percent 3 2 2 2 2 2 3 2 3" xfId="31673"/>
    <cellStyle name="Percent 3 2 2 2 2 2 3 3" xfId="31674"/>
    <cellStyle name="Percent 3 2 2 2 2 2 3 3 2" xfId="31675"/>
    <cellStyle name="Percent 3 2 2 2 2 2 3 4" xfId="31676"/>
    <cellStyle name="Percent 3 2 2 2 2 2 4" xfId="31677"/>
    <cellStyle name="Percent 3 2 2 2 2 2 4 2" xfId="31678"/>
    <cellStyle name="Percent 3 2 2 2 2 2 4 2 2" xfId="31679"/>
    <cellStyle name="Percent 3 2 2 2 2 2 4 3" xfId="31680"/>
    <cellStyle name="Percent 3 2 2 2 2 2 5" xfId="31681"/>
    <cellStyle name="Percent 3 2 2 2 2 2 5 2" xfId="31682"/>
    <cellStyle name="Percent 3 2 2 2 2 2 5 2 2" xfId="31683"/>
    <cellStyle name="Percent 3 2 2 2 2 2 5 3" xfId="31684"/>
    <cellStyle name="Percent 3 2 2 2 2 2 6" xfId="31685"/>
    <cellStyle name="Percent 3 2 2 2 2 2 6 2" xfId="31686"/>
    <cellStyle name="Percent 3 2 2 2 2 2 7" xfId="31687"/>
    <cellStyle name="Percent 3 2 2 2 2 2 7 2" xfId="37372"/>
    <cellStyle name="Percent 3 2 2 2 2 2 8" xfId="31688"/>
    <cellStyle name="Percent 3 2 2 2 2 3" xfId="31689"/>
    <cellStyle name="Percent 3 2 2 2 2 3 2" xfId="31690"/>
    <cellStyle name="Percent 3 2 2 2 2 3 2 2" xfId="31691"/>
    <cellStyle name="Percent 3 2 2 2 2 3 2 2 2" xfId="31692"/>
    <cellStyle name="Percent 3 2 2 2 2 3 2 2 3" xfId="31693"/>
    <cellStyle name="Percent 3 2 2 2 2 3 2 3" xfId="31694"/>
    <cellStyle name="Percent 3 2 2 2 2 3 2 3 2" xfId="31695"/>
    <cellStyle name="Percent 3 2 2 2 2 3 2 4" xfId="31696"/>
    <cellStyle name="Percent 3 2 2 2 2 3 3" xfId="31697"/>
    <cellStyle name="Percent 3 2 2 2 2 3 3 2" xfId="31698"/>
    <cellStyle name="Percent 3 2 2 2 2 3 3 2 2" xfId="31699"/>
    <cellStyle name="Percent 3 2 2 2 2 3 3 3" xfId="31700"/>
    <cellStyle name="Percent 3 2 2 2 2 3 4" xfId="31701"/>
    <cellStyle name="Percent 3 2 2 2 2 3 4 2" xfId="31702"/>
    <cellStyle name="Percent 3 2 2 2 2 3 4 3" xfId="31703"/>
    <cellStyle name="Percent 3 2 2 2 2 3 5" xfId="31704"/>
    <cellStyle name="Percent 3 2 2 2 2 3 5 2" xfId="31705"/>
    <cellStyle name="Percent 3 2 2 2 2 3 6" xfId="31706"/>
    <cellStyle name="Percent 3 2 2 2 2 3 6 2" xfId="37373"/>
    <cellStyle name="Percent 3 2 2 2 2 3 7" xfId="31707"/>
    <cellStyle name="Percent 3 2 2 2 2 4" xfId="31708"/>
    <cellStyle name="Percent 3 2 2 2 2 4 2" xfId="31709"/>
    <cellStyle name="Percent 3 2 2 2 2 4 2 2" xfId="31710"/>
    <cellStyle name="Percent 3 2 2 2 2 4 2 2 2" xfId="31711"/>
    <cellStyle name="Percent 3 2 2 2 2 4 2 3" xfId="31712"/>
    <cellStyle name="Percent 3 2 2 2 2 4 3" xfId="31713"/>
    <cellStyle name="Percent 3 2 2 2 2 4 3 2" xfId="31714"/>
    <cellStyle name="Percent 3 2 2 2 2 4 4" xfId="31715"/>
    <cellStyle name="Percent 3 2 2 2 2 5" xfId="31716"/>
    <cellStyle name="Percent 3 2 2 2 2 5 2" xfId="31717"/>
    <cellStyle name="Percent 3 2 2 2 2 5 2 2" xfId="31718"/>
    <cellStyle name="Percent 3 2 2 2 2 5 3" xfId="31719"/>
    <cellStyle name="Percent 3 2 2 2 2 6" xfId="31720"/>
    <cellStyle name="Percent 3 2 2 2 2 6 2" xfId="31721"/>
    <cellStyle name="Percent 3 2 2 2 2 6 2 2" xfId="31722"/>
    <cellStyle name="Percent 3 2 2 2 2 6 3" xfId="31723"/>
    <cellStyle name="Percent 3 2 2 2 2 7" xfId="31724"/>
    <cellStyle name="Percent 3 2 2 2 2 7 2" xfId="31725"/>
    <cellStyle name="Percent 3 2 2 2 2 8" xfId="31726"/>
    <cellStyle name="Percent 3 2 2 2 2 8 2" xfId="37374"/>
    <cellStyle name="Percent 3 2 2 2 2 9" xfId="31727"/>
    <cellStyle name="Percent 3 2 2 2 3" xfId="31728"/>
    <cellStyle name="Percent 3 2 2 2 3 2" xfId="31729"/>
    <cellStyle name="Percent 3 2 2 2 3 2 2" xfId="31730"/>
    <cellStyle name="Percent 3 2 2 2 3 2 2 2" xfId="31731"/>
    <cellStyle name="Percent 3 2 2 2 3 2 2 2 2" xfId="31732"/>
    <cellStyle name="Percent 3 2 2 2 3 2 2 2 3" xfId="31733"/>
    <cellStyle name="Percent 3 2 2 2 3 2 2 3" xfId="31734"/>
    <cellStyle name="Percent 3 2 2 2 3 2 2 3 2" xfId="31735"/>
    <cellStyle name="Percent 3 2 2 2 3 2 2 4" xfId="31736"/>
    <cellStyle name="Percent 3 2 2 2 3 2 3" xfId="31737"/>
    <cellStyle name="Percent 3 2 2 2 3 2 3 2" xfId="31738"/>
    <cellStyle name="Percent 3 2 2 2 3 2 3 2 2" xfId="31739"/>
    <cellStyle name="Percent 3 2 2 2 3 2 3 3" xfId="31740"/>
    <cellStyle name="Percent 3 2 2 2 3 2 4" xfId="31741"/>
    <cellStyle name="Percent 3 2 2 2 3 2 4 2" xfId="31742"/>
    <cellStyle name="Percent 3 2 2 2 3 2 4 3" xfId="31743"/>
    <cellStyle name="Percent 3 2 2 2 3 2 5" xfId="31744"/>
    <cellStyle name="Percent 3 2 2 2 3 2 5 2" xfId="31745"/>
    <cellStyle name="Percent 3 2 2 2 3 2 6" xfId="31746"/>
    <cellStyle name="Percent 3 2 2 2 3 2 6 2" xfId="37375"/>
    <cellStyle name="Percent 3 2 2 2 3 2 7" xfId="31747"/>
    <cellStyle name="Percent 3 2 2 2 3 3" xfId="31748"/>
    <cellStyle name="Percent 3 2 2 2 3 3 2" xfId="31749"/>
    <cellStyle name="Percent 3 2 2 2 3 3 2 2" xfId="31750"/>
    <cellStyle name="Percent 3 2 2 2 3 3 2 2 2" xfId="31751"/>
    <cellStyle name="Percent 3 2 2 2 3 3 2 3" xfId="31752"/>
    <cellStyle name="Percent 3 2 2 2 3 3 3" xfId="31753"/>
    <cellStyle name="Percent 3 2 2 2 3 3 3 2" xfId="31754"/>
    <cellStyle name="Percent 3 2 2 2 3 3 4" xfId="31755"/>
    <cellStyle name="Percent 3 2 2 2 3 4" xfId="31756"/>
    <cellStyle name="Percent 3 2 2 2 3 4 2" xfId="31757"/>
    <cellStyle name="Percent 3 2 2 2 3 4 2 2" xfId="31758"/>
    <cellStyle name="Percent 3 2 2 2 3 4 3" xfId="31759"/>
    <cellStyle name="Percent 3 2 2 2 3 5" xfId="31760"/>
    <cellStyle name="Percent 3 2 2 2 3 5 2" xfId="31761"/>
    <cellStyle name="Percent 3 2 2 2 3 5 2 2" xfId="31762"/>
    <cellStyle name="Percent 3 2 2 2 3 5 3" xfId="31763"/>
    <cellStyle name="Percent 3 2 2 2 3 6" xfId="31764"/>
    <cellStyle name="Percent 3 2 2 2 3 6 2" xfId="31765"/>
    <cellStyle name="Percent 3 2 2 2 3 7" xfId="31766"/>
    <cellStyle name="Percent 3 2 2 2 3 7 2" xfId="37376"/>
    <cellStyle name="Percent 3 2 2 2 3 8" xfId="31767"/>
    <cellStyle name="Percent 3 2 2 2 4" xfId="31768"/>
    <cellStyle name="Percent 3 2 2 2 4 2" xfId="31769"/>
    <cellStyle name="Percent 3 2 2 2 4 2 2" xfId="31770"/>
    <cellStyle name="Percent 3 2 2 2 4 2 2 2" xfId="31771"/>
    <cellStyle name="Percent 3 2 2 2 4 2 2 3" xfId="31772"/>
    <cellStyle name="Percent 3 2 2 2 4 2 3" xfId="31773"/>
    <cellStyle name="Percent 3 2 2 2 4 2 3 2" xfId="31774"/>
    <cellStyle name="Percent 3 2 2 2 4 2 4" xfId="31775"/>
    <cellStyle name="Percent 3 2 2 2 4 3" xfId="31776"/>
    <cellStyle name="Percent 3 2 2 2 4 3 2" xfId="31777"/>
    <cellStyle name="Percent 3 2 2 2 4 3 2 2" xfId="31778"/>
    <cellStyle name="Percent 3 2 2 2 4 3 3" xfId="31779"/>
    <cellStyle name="Percent 3 2 2 2 4 4" xfId="31780"/>
    <cellStyle name="Percent 3 2 2 2 4 4 2" xfId="31781"/>
    <cellStyle name="Percent 3 2 2 2 4 4 3" xfId="31782"/>
    <cellStyle name="Percent 3 2 2 2 4 5" xfId="31783"/>
    <cellStyle name="Percent 3 2 2 2 4 5 2" xfId="31784"/>
    <cellStyle name="Percent 3 2 2 2 4 6" xfId="31785"/>
    <cellStyle name="Percent 3 2 2 2 4 6 2" xfId="37377"/>
    <cellStyle name="Percent 3 2 2 2 4 7" xfId="31786"/>
    <cellStyle name="Percent 3 2 2 2 5" xfId="31787"/>
    <cellStyle name="Percent 3 2 2 2 5 2" xfId="31788"/>
    <cellStyle name="Percent 3 2 2 2 5 2 2" xfId="31789"/>
    <cellStyle name="Percent 3 2 2 2 5 2 2 2" xfId="31790"/>
    <cellStyle name="Percent 3 2 2 2 5 2 3" xfId="31791"/>
    <cellStyle name="Percent 3 2 2 2 5 3" xfId="31792"/>
    <cellStyle name="Percent 3 2 2 2 5 3 2" xfId="31793"/>
    <cellStyle name="Percent 3 2 2 2 5 4" xfId="31794"/>
    <cellStyle name="Percent 3 2 2 2 6" xfId="31795"/>
    <cellStyle name="Percent 3 2 2 2 6 2" xfId="31796"/>
    <cellStyle name="Percent 3 2 2 2 6 2 2" xfId="31797"/>
    <cellStyle name="Percent 3 2 2 2 6 3" xfId="31798"/>
    <cellStyle name="Percent 3 2 2 2 7" xfId="31799"/>
    <cellStyle name="Percent 3 2 2 2 7 2" xfId="31800"/>
    <cellStyle name="Percent 3 2 2 2 7 2 2" xfId="31801"/>
    <cellStyle name="Percent 3 2 2 2 7 3" xfId="31802"/>
    <cellStyle name="Percent 3 2 2 2 8" xfId="31803"/>
    <cellStyle name="Percent 3 2 2 2 8 2" xfId="31804"/>
    <cellStyle name="Percent 3 2 2 2 9" xfId="31805"/>
    <cellStyle name="Percent 3 2 2 2 9 2" xfId="37378"/>
    <cellStyle name="Percent 3 2 2 3" xfId="31806"/>
    <cellStyle name="Percent 3 2 2 3 2" xfId="31807"/>
    <cellStyle name="Percent 3 2 2 3 2 2" xfId="31808"/>
    <cellStyle name="Percent 3 2 2 3 2 2 2" xfId="31809"/>
    <cellStyle name="Percent 3 2 2 3 2 2 2 2" xfId="31810"/>
    <cellStyle name="Percent 3 2 2 3 2 2 2 2 2" xfId="31811"/>
    <cellStyle name="Percent 3 2 2 3 2 2 2 2 3" xfId="31812"/>
    <cellStyle name="Percent 3 2 2 3 2 2 2 3" xfId="31813"/>
    <cellStyle name="Percent 3 2 2 3 2 2 2 3 2" xfId="31814"/>
    <cellStyle name="Percent 3 2 2 3 2 2 2 4" xfId="31815"/>
    <cellStyle name="Percent 3 2 2 3 2 2 3" xfId="31816"/>
    <cellStyle name="Percent 3 2 2 3 2 2 3 2" xfId="31817"/>
    <cellStyle name="Percent 3 2 2 3 2 2 3 2 2" xfId="31818"/>
    <cellStyle name="Percent 3 2 2 3 2 2 3 3" xfId="31819"/>
    <cellStyle name="Percent 3 2 2 3 2 2 4" xfId="31820"/>
    <cellStyle name="Percent 3 2 2 3 2 2 4 2" xfId="31821"/>
    <cellStyle name="Percent 3 2 2 3 2 2 4 3" xfId="31822"/>
    <cellStyle name="Percent 3 2 2 3 2 2 5" xfId="31823"/>
    <cellStyle name="Percent 3 2 2 3 2 2 5 2" xfId="31824"/>
    <cellStyle name="Percent 3 2 2 3 2 2 6" xfId="31825"/>
    <cellStyle name="Percent 3 2 2 3 2 2 6 2" xfId="37379"/>
    <cellStyle name="Percent 3 2 2 3 2 2 7" xfId="31826"/>
    <cellStyle name="Percent 3 2 2 3 2 3" xfId="31827"/>
    <cellStyle name="Percent 3 2 2 3 2 3 2" xfId="31828"/>
    <cellStyle name="Percent 3 2 2 3 2 3 2 2" xfId="31829"/>
    <cellStyle name="Percent 3 2 2 3 2 3 2 2 2" xfId="31830"/>
    <cellStyle name="Percent 3 2 2 3 2 3 2 3" xfId="31831"/>
    <cellStyle name="Percent 3 2 2 3 2 3 3" xfId="31832"/>
    <cellStyle name="Percent 3 2 2 3 2 3 3 2" xfId="31833"/>
    <cellStyle name="Percent 3 2 2 3 2 3 4" xfId="31834"/>
    <cellStyle name="Percent 3 2 2 3 2 4" xfId="31835"/>
    <cellStyle name="Percent 3 2 2 3 2 4 2" xfId="31836"/>
    <cellStyle name="Percent 3 2 2 3 2 4 2 2" xfId="31837"/>
    <cellStyle name="Percent 3 2 2 3 2 4 3" xfId="31838"/>
    <cellStyle name="Percent 3 2 2 3 2 5" xfId="31839"/>
    <cellStyle name="Percent 3 2 2 3 2 5 2" xfId="31840"/>
    <cellStyle name="Percent 3 2 2 3 2 5 2 2" xfId="31841"/>
    <cellStyle name="Percent 3 2 2 3 2 5 3" xfId="31842"/>
    <cellStyle name="Percent 3 2 2 3 2 6" xfId="31843"/>
    <cellStyle name="Percent 3 2 2 3 2 6 2" xfId="31844"/>
    <cellStyle name="Percent 3 2 2 3 2 7" xfId="31845"/>
    <cellStyle name="Percent 3 2 2 3 2 7 2" xfId="37380"/>
    <cellStyle name="Percent 3 2 2 3 2 8" xfId="31846"/>
    <cellStyle name="Percent 3 2 2 3 3" xfId="31847"/>
    <cellStyle name="Percent 3 2 2 3 3 2" xfId="31848"/>
    <cellStyle name="Percent 3 2 2 3 3 2 2" xfId="31849"/>
    <cellStyle name="Percent 3 2 2 3 3 2 2 2" xfId="31850"/>
    <cellStyle name="Percent 3 2 2 3 3 2 2 3" xfId="31851"/>
    <cellStyle name="Percent 3 2 2 3 3 2 3" xfId="31852"/>
    <cellStyle name="Percent 3 2 2 3 3 2 3 2" xfId="31853"/>
    <cellStyle name="Percent 3 2 2 3 3 2 4" xfId="31854"/>
    <cellStyle name="Percent 3 2 2 3 3 3" xfId="31855"/>
    <cellStyle name="Percent 3 2 2 3 3 3 2" xfId="31856"/>
    <cellStyle name="Percent 3 2 2 3 3 3 2 2" xfId="31857"/>
    <cellStyle name="Percent 3 2 2 3 3 3 3" xfId="31858"/>
    <cellStyle name="Percent 3 2 2 3 3 4" xfId="31859"/>
    <cellStyle name="Percent 3 2 2 3 3 4 2" xfId="31860"/>
    <cellStyle name="Percent 3 2 2 3 3 4 3" xfId="31861"/>
    <cellStyle name="Percent 3 2 2 3 3 5" xfId="31862"/>
    <cellStyle name="Percent 3 2 2 3 3 5 2" xfId="31863"/>
    <cellStyle name="Percent 3 2 2 3 3 6" xfId="31864"/>
    <cellStyle name="Percent 3 2 2 3 3 6 2" xfId="37381"/>
    <cellStyle name="Percent 3 2 2 3 3 7" xfId="31865"/>
    <cellStyle name="Percent 3 2 2 3 4" xfId="31866"/>
    <cellStyle name="Percent 3 2 2 3 4 2" xfId="31867"/>
    <cellStyle name="Percent 3 2 2 3 4 2 2" xfId="31868"/>
    <cellStyle name="Percent 3 2 2 3 4 2 2 2" xfId="31869"/>
    <cellStyle name="Percent 3 2 2 3 4 2 3" xfId="31870"/>
    <cellStyle name="Percent 3 2 2 3 4 3" xfId="31871"/>
    <cellStyle name="Percent 3 2 2 3 4 3 2" xfId="31872"/>
    <cellStyle name="Percent 3 2 2 3 4 4" xfId="31873"/>
    <cellStyle name="Percent 3 2 2 3 5" xfId="31874"/>
    <cellStyle name="Percent 3 2 2 3 5 2" xfId="31875"/>
    <cellStyle name="Percent 3 2 2 3 5 2 2" xfId="31876"/>
    <cellStyle name="Percent 3 2 2 3 5 3" xfId="31877"/>
    <cellStyle name="Percent 3 2 2 3 6" xfId="31878"/>
    <cellStyle name="Percent 3 2 2 3 6 2" xfId="31879"/>
    <cellStyle name="Percent 3 2 2 3 6 2 2" xfId="31880"/>
    <cellStyle name="Percent 3 2 2 3 6 3" xfId="31881"/>
    <cellStyle name="Percent 3 2 2 3 7" xfId="31882"/>
    <cellStyle name="Percent 3 2 2 3 7 2" xfId="31883"/>
    <cellStyle name="Percent 3 2 2 3 8" xfId="31884"/>
    <cellStyle name="Percent 3 2 2 3 8 2" xfId="37382"/>
    <cellStyle name="Percent 3 2 2 3 9" xfId="31885"/>
    <cellStyle name="Percent 3 2 2 4" xfId="31886"/>
    <cellStyle name="Percent 3 2 2 4 2" xfId="31887"/>
    <cellStyle name="Percent 3 2 2 4 2 2" xfId="31888"/>
    <cellStyle name="Percent 3 2 2 4 2 2 2" xfId="31889"/>
    <cellStyle name="Percent 3 2 2 4 2 2 2 2" xfId="31890"/>
    <cellStyle name="Percent 3 2 2 4 2 2 2 2 2" xfId="31891"/>
    <cellStyle name="Percent 3 2 2 4 2 2 2 2 3" xfId="31892"/>
    <cellStyle name="Percent 3 2 2 4 2 2 2 3" xfId="31893"/>
    <cellStyle name="Percent 3 2 2 4 2 2 2 3 2" xfId="31894"/>
    <cellStyle name="Percent 3 2 2 4 2 2 2 4" xfId="31895"/>
    <cellStyle name="Percent 3 2 2 4 2 2 3" xfId="31896"/>
    <cellStyle name="Percent 3 2 2 4 2 2 3 2" xfId="31897"/>
    <cellStyle name="Percent 3 2 2 4 2 2 3 2 2" xfId="31898"/>
    <cellStyle name="Percent 3 2 2 4 2 2 3 3" xfId="31899"/>
    <cellStyle name="Percent 3 2 2 4 2 2 4" xfId="31900"/>
    <cellStyle name="Percent 3 2 2 4 2 2 4 2" xfId="31901"/>
    <cellStyle name="Percent 3 2 2 4 2 2 4 3" xfId="31902"/>
    <cellStyle name="Percent 3 2 2 4 2 2 5" xfId="31903"/>
    <cellStyle name="Percent 3 2 2 4 2 2 5 2" xfId="31904"/>
    <cellStyle name="Percent 3 2 2 4 2 2 6" xfId="31905"/>
    <cellStyle name="Percent 3 2 2 4 2 2 6 2" xfId="37383"/>
    <cellStyle name="Percent 3 2 2 4 2 2 7" xfId="31906"/>
    <cellStyle name="Percent 3 2 2 4 2 3" xfId="31907"/>
    <cellStyle name="Percent 3 2 2 4 2 3 2" xfId="31908"/>
    <cellStyle name="Percent 3 2 2 4 2 3 2 2" xfId="31909"/>
    <cellStyle name="Percent 3 2 2 4 2 3 2 2 2" xfId="31910"/>
    <cellStyle name="Percent 3 2 2 4 2 3 2 3" xfId="31911"/>
    <cellStyle name="Percent 3 2 2 4 2 3 3" xfId="31912"/>
    <cellStyle name="Percent 3 2 2 4 2 3 3 2" xfId="31913"/>
    <cellStyle name="Percent 3 2 2 4 2 3 4" xfId="31914"/>
    <cellStyle name="Percent 3 2 2 4 2 4" xfId="31915"/>
    <cellStyle name="Percent 3 2 2 4 2 4 2" xfId="31916"/>
    <cellStyle name="Percent 3 2 2 4 2 4 2 2" xfId="31917"/>
    <cellStyle name="Percent 3 2 2 4 2 4 3" xfId="31918"/>
    <cellStyle name="Percent 3 2 2 4 2 5" xfId="31919"/>
    <cellStyle name="Percent 3 2 2 4 2 5 2" xfId="31920"/>
    <cellStyle name="Percent 3 2 2 4 2 5 2 2" xfId="31921"/>
    <cellStyle name="Percent 3 2 2 4 2 5 3" xfId="31922"/>
    <cellStyle name="Percent 3 2 2 4 2 6" xfId="31923"/>
    <cellStyle name="Percent 3 2 2 4 2 6 2" xfId="31924"/>
    <cellStyle name="Percent 3 2 2 4 2 7" xfId="31925"/>
    <cellStyle name="Percent 3 2 2 4 2 7 2" xfId="37384"/>
    <cellStyle name="Percent 3 2 2 4 2 8" xfId="31926"/>
    <cellStyle name="Percent 3 2 2 4 3" xfId="31927"/>
    <cellStyle name="Percent 3 2 2 4 3 2" xfId="31928"/>
    <cellStyle name="Percent 3 2 2 4 3 2 2" xfId="31929"/>
    <cellStyle name="Percent 3 2 2 4 3 2 2 2" xfId="31930"/>
    <cellStyle name="Percent 3 2 2 4 3 2 2 3" xfId="31931"/>
    <cellStyle name="Percent 3 2 2 4 3 2 3" xfId="31932"/>
    <cellStyle name="Percent 3 2 2 4 3 2 3 2" xfId="31933"/>
    <cellStyle name="Percent 3 2 2 4 3 2 4" xfId="31934"/>
    <cellStyle name="Percent 3 2 2 4 3 3" xfId="31935"/>
    <cellStyle name="Percent 3 2 2 4 3 3 2" xfId="31936"/>
    <cellStyle name="Percent 3 2 2 4 3 3 2 2" xfId="31937"/>
    <cellStyle name="Percent 3 2 2 4 3 3 3" xfId="31938"/>
    <cellStyle name="Percent 3 2 2 4 3 4" xfId="31939"/>
    <cellStyle name="Percent 3 2 2 4 3 4 2" xfId="31940"/>
    <cellStyle name="Percent 3 2 2 4 3 4 3" xfId="31941"/>
    <cellStyle name="Percent 3 2 2 4 3 5" xfId="31942"/>
    <cellStyle name="Percent 3 2 2 4 3 5 2" xfId="31943"/>
    <cellStyle name="Percent 3 2 2 4 3 6" xfId="31944"/>
    <cellStyle name="Percent 3 2 2 4 3 6 2" xfId="37385"/>
    <cellStyle name="Percent 3 2 2 4 3 7" xfId="31945"/>
    <cellStyle name="Percent 3 2 2 4 4" xfId="31946"/>
    <cellStyle name="Percent 3 2 2 4 4 2" xfId="31947"/>
    <cellStyle name="Percent 3 2 2 4 4 2 2" xfId="31948"/>
    <cellStyle name="Percent 3 2 2 4 4 2 2 2" xfId="31949"/>
    <cellStyle name="Percent 3 2 2 4 4 2 3" xfId="31950"/>
    <cellStyle name="Percent 3 2 2 4 4 3" xfId="31951"/>
    <cellStyle name="Percent 3 2 2 4 4 3 2" xfId="31952"/>
    <cellStyle name="Percent 3 2 2 4 4 4" xfId="31953"/>
    <cellStyle name="Percent 3 2 2 4 5" xfId="31954"/>
    <cellStyle name="Percent 3 2 2 4 5 2" xfId="31955"/>
    <cellStyle name="Percent 3 2 2 4 5 2 2" xfId="31956"/>
    <cellStyle name="Percent 3 2 2 4 5 3" xfId="31957"/>
    <cellStyle name="Percent 3 2 2 4 6" xfId="31958"/>
    <cellStyle name="Percent 3 2 2 4 6 2" xfId="31959"/>
    <cellStyle name="Percent 3 2 2 4 6 2 2" xfId="31960"/>
    <cellStyle name="Percent 3 2 2 4 6 3" xfId="31961"/>
    <cellStyle name="Percent 3 2 2 4 7" xfId="31962"/>
    <cellStyle name="Percent 3 2 2 4 7 2" xfId="31963"/>
    <cellStyle name="Percent 3 2 2 4 8" xfId="31964"/>
    <cellStyle name="Percent 3 2 2 4 8 2" xfId="37386"/>
    <cellStyle name="Percent 3 2 2 4 9" xfId="31965"/>
    <cellStyle name="Percent 3 2 2 5" xfId="31966"/>
    <cellStyle name="Percent 3 2 2 5 2" xfId="31967"/>
    <cellStyle name="Percent 3 2 2 5 2 2" xfId="31968"/>
    <cellStyle name="Percent 3 2 2 5 2 2 2" xfId="31969"/>
    <cellStyle name="Percent 3 2 2 5 2 2 2 2" xfId="31970"/>
    <cellStyle name="Percent 3 2 2 5 2 2 2 3" xfId="31971"/>
    <cellStyle name="Percent 3 2 2 5 2 2 3" xfId="31972"/>
    <cellStyle name="Percent 3 2 2 5 2 2 3 2" xfId="31973"/>
    <cellStyle name="Percent 3 2 2 5 2 2 4" xfId="31974"/>
    <cellStyle name="Percent 3 2 2 5 2 3" xfId="31975"/>
    <cellStyle name="Percent 3 2 2 5 2 3 2" xfId="31976"/>
    <cellStyle name="Percent 3 2 2 5 2 3 2 2" xfId="31977"/>
    <cellStyle name="Percent 3 2 2 5 2 3 3" xfId="31978"/>
    <cellStyle name="Percent 3 2 2 5 2 4" xfId="31979"/>
    <cellStyle name="Percent 3 2 2 5 2 4 2" xfId="31980"/>
    <cellStyle name="Percent 3 2 2 5 2 4 3" xfId="31981"/>
    <cellStyle name="Percent 3 2 2 5 2 5" xfId="31982"/>
    <cellStyle name="Percent 3 2 2 5 2 5 2" xfId="31983"/>
    <cellStyle name="Percent 3 2 2 5 2 6" xfId="31984"/>
    <cellStyle name="Percent 3 2 2 5 2 6 2" xfId="37387"/>
    <cellStyle name="Percent 3 2 2 5 2 7" xfId="31985"/>
    <cellStyle name="Percent 3 2 2 5 3" xfId="31986"/>
    <cellStyle name="Percent 3 2 2 5 3 2" xfId="31987"/>
    <cellStyle name="Percent 3 2 2 5 3 2 2" xfId="31988"/>
    <cellStyle name="Percent 3 2 2 5 3 2 2 2" xfId="31989"/>
    <cellStyle name="Percent 3 2 2 5 3 2 3" xfId="31990"/>
    <cellStyle name="Percent 3 2 2 5 3 3" xfId="31991"/>
    <cellStyle name="Percent 3 2 2 5 3 3 2" xfId="31992"/>
    <cellStyle name="Percent 3 2 2 5 3 4" xfId="31993"/>
    <cellStyle name="Percent 3 2 2 5 4" xfId="31994"/>
    <cellStyle name="Percent 3 2 2 5 4 2" xfId="31995"/>
    <cellStyle name="Percent 3 2 2 5 4 2 2" xfId="31996"/>
    <cellStyle name="Percent 3 2 2 5 4 3" xfId="31997"/>
    <cellStyle name="Percent 3 2 2 5 5" xfId="31998"/>
    <cellStyle name="Percent 3 2 2 5 5 2" xfId="31999"/>
    <cellStyle name="Percent 3 2 2 5 5 2 2" xfId="32000"/>
    <cellStyle name="Percent 3 2 2 5 5 3" xfId="32001"/>
    <cellStyle name="Percent 3 2 2 5 6" xfId="32002"/>
    <cellStyle name="Percent 3 2 2 5 6 2" xfId="32003"/>
    <cellStyle name="Percent 3 2 2 5 7" xfId="32004"/>
    <cellStyle name="Percent 3 2 2 5 7 2" xfId="37388"/>
    <cellStyle name="Percent 3 2 2 5 8" xfId="32005"/>
    <cellStyle name="Percent 3 2 2 6" xfId="32006"/>
    <cellStyle name="Percent 3 2 2 6 2" xfId="32007"/>
    <cellStyle name="Percent 3 2 2 6 2 2" xfId="32008"/>
    <cellStyle name="Percent 3 2 2 6 2 2 2" xfId="32009"/>
    <cellStyle name="Percent 3 2 2 6 2 2 2 2" xfId="32010"/>
    <cellStyle name="Percent 3 2 2 6 2 2 2 3" xfId="32011"/>
    <cellStyle name="Percent 3 2 2 6 2 2 3" xfId="32012"/>
    <cellStyle name="Percent 3 2 2 6 2 2 3 2" xfId="32013"/>
    <cellStyle name="Percent 3 2 2 6 2 2 4" xfId="32014"/>
    <cellStyle name="Percent 3 2 2 6 2 3" xfId="32015"/>
    <cellStyle name="Percent 3 2 2 6 2 3 2" xfId="32016"/>
    <cellStyle name="Percent 3 2 2 6 2 3 2 2" xfId="32017"/>
    <cellStyle name="Percent 3 2 2 6 2 3 3" xfId="32018"/>
    <cellStyle name="Percent 3 2 2 6 2 4" xfId="32019"/>
    <cellStyle name="Percent 3 2 2 6 2 4 2" xfId="32020"/>
    <cellStyle name="Percent 3 2 2 6 2 4 3" xfId="32021"/>
    <cellStyle name="Percent 3 2 2 6 2 5" xfId="32022"/>
    <cellStyle name="Percent 3 2 2 6 2 5 2" xfId="32023"/>
    <cellStyle name="Percent 3 2 2 6 2 6" xfId="32024"/>
    <cellStyle name="Percent 3 2 2 6 2 6 2" xfId="37389"/>
    <cellStyle name="Percent 3 2 2 6 2 7" xfId="32025"/>
    <cellStyle name="Percent 3 2 2 6 3" xfId="32026"/>
    <cellStyle name="Percent 3 2 2 6 3 2" xfId="32027"/>
    <cellStyle name="Percent 3 2 2 6 3 2 2" xfId="32028"/>
    <cellStyle name="Percent 3 2 2 6 3 2 2 2" xfId="32029"/>
    <cellStyle name="Percent 3 2 2 6 3 2 3" xfId="32030"/>
    <cellStyle name="Percent 3 2 2 6 3 3" xfId="32031"/>
    <cellStyle name="Percent 3 2 2 6 3 3 2" xfId="32032"/>
    <cellStyle name="Percent 3 2 2 6 3 4" xfId="32033"/>
    <cellStyle name="Percent 3 2 2 6 4" xfId="32034"/>
    <cellStyle name="Percent 3 2 2 6 4 2" xfId="32035"/>
    <cellStyle name="Percent 3 2 2 6 4 2 2" xfId="32036"/>
    <cellStyle name="Percent 3 2 2 6 4 3" xfId="32037"/>
    <cellStyle name="Percent 3 2 2 6 5" xfId="32038"/>
    <cellStyle name="Percent 3 2 2 6 5 2" xfId="32039"/>
    <cellStyle name="Percent 3 2 2 6 5 2 2" xfId="32040"/>
    <cellStyle name="Percent 3 2 2 6 5 3" xfId="32041"/>
    <cellStyle name="Percent 3 2 2 6 6" xfId="32042"/>
    <cellStyle name="Percent 3 2 2 6 6 2" xfId="32043"/>
    <cellStyle name="Percent 3 2 2 6 7" xfId="32044"/>
    <cellStyle name="Percent 3 2 2 6 7 2" xfId="37390"/>
    <cellStyle name="Percent 3 2 2 6 8" xfId="32045"/>
    <cellStyle name="Percent 3 2 2 7" xfId="32046"/>
    <cellStyle name="Percent 3 2 2 7 2" xfId="32047"/>
    <cellStyle name="Percent 3 2 2 7 2 2" xfId="32048"/>
    <cellStyle name="Percent 3 2 2 7 2 2 2" xfId="32049"/>
    <cellStyle name="Percent 3 2 2 7 2 2 2 2" xfId="32050"/>
    <cellStyle name="Percent 3 2 2 7 2 2 2 3" xfId="32051"/>
    <cellStyle name="Percent 3 2 2 7 2 2 3" xfId="32052"/>
    <cellStyle name="Percent 3 2 2 7 2 2 3 2" xfId="32053"/>
    <cellStyle name="Percent 3 2 2 7 2 2 4" xfId="32054"/>
    <cellStyle name="Percent 3 2 2 7 2 3" xfId="32055"/>
    <cellStyle name="Percent 3 2 2 7 2 3 2" xfId="32056"/>
    <cellStyle name="Percent 3 2 2 7 2 3 2 2" xfId="32057"/>
    <cellStyle name="Percent 3 2 2 7 2 3 3" xfId="32058"/>
    <cellStyle name="Percent 3 2 2 7 2 4" xfId="32059"/>
    <cellStyle name="Percent 3 2 2 7 2 4 2" xfId="32060"/>
    <cellStyle name="Percent 3 2 2 7 2 4 3" xfId="32061"/>
    <cellStyle name="Percent 3 2 2 7 2 5" xfId="32062"/>
    <cellStyle name="Percent 3 2 2 7 2 5 2" xfId="32063"/>
    <cellStyle name="Percent 3 2 2 7 2 6" xfId="32064"/>
    <cellStyle name="Percent 3 2 2 7 2 6 2" xfId="37391"/>
    <cellStyle name="Percent 3 2 2 7 2 7" xfId="32065"/>
    <cellStyle name="Percent 3 2 2 7 3" xfId="32066"/>
    <cellStyle name="Percent 3 2 2 7 3 2" xfId="32067"/>
    <cellStyle name="Percent 3 2 2 7 3 2 2" xfId="32068"/>
    <cellStyle name="Percent 3 2 2 7 3 2 2 2" xfId="32069"/>
    <cellStyle name="Percent 3 2 2 7 3 2 3" xfId="32070"/>
    <cellStyle name="Percent 3 2 2 7 3 3" xfId="32071"/>
    <cellStyle name="Percent 3 2 2 7 3 3 2" xfId="32072"/>
    <cellStyle name="Percent 3 2 2 7 3 4" xfId="32073"/>
    <cellStyle name="Percent 3 2 2 7 4" xfId="32074"/>
    <cellStyle name="Percent 3 2 2 7 4 2" xfId="32075"/>
    <cellStyle name="Percent 3 2 2 7 4 2 2" xfId="32076"/>
    <cellStyle name="Percent 3 2 2 7 4 3" xfId="32077"/>
    <cellStyle name="Percent 3 2 2 7 5" xfId="32078"/>
    <cellStyle name="Percent 3 2 2 7 5 2" xfId="32079"/>
    <cellStyle name="Percent 3 2 2 7 5 2 2" xfId="32080"/>
    <cellStyle name="Percent 3 2 2 7 5 3" xfId="32081"/>
    <cellStyle name="Percent 3 2 2 7 6" xfId="32082"/>
    <cellStyle name="Percent 3 2 2 7 6 2" xfId="32083"/>
    <cellStyle name="Percent 3 2 2 7 7" xfId="32084"/>
    <cellStyle name="Percent 3 2 2 7 7 2" xfId="37392"/>
    <cellStyle name="Percent 3 2 2 7 8" xfId="32085"/>
    <cellStyle name="Percent 3 2 2 8" xfId="32086"/>
    <cellStyle name="Percent 3 2 2 8 2" xfId="32087"/>
    <cellStyle name="Percent 3 2 2 8 2 2" xfId="32088"/>
    <cellStyle name="Percent 3 2 2 8 2 2 2" xfId="32089"/>
    <cellStyle name="Percent 3 2 2 8 2 2 3" xfId="32090"/>
    <cellStyle name="Percent 3 2 2 8 2 3" xfId="32091"/>
    <cellStyle name="Percent 3 2 2 8 2 3 2" xfId="32092"/>
    <cellStyle name="Percent 3 2 2 8 2 4" xfId="32093"/>
    <cellStyle name="Percent 3 2 2 8 3" xfId="32094"/>
    <cellStyle name="Percent 3 2 2 8 3 2" xfId="32095"/>
    <cellStyle name="Percent 3 2 2 8 3 2 2" xfId="32096"/>
    <cellStyle name="Percent 3 2 2 8 3 3" xfId="32097"/>
    <cellStyle name="Percent 3 2 2 8 4" xfId="32098"/>
    <cellStyle name="Percent 3 2 2 8 4 2" xfId="32099"/>
    <cellStyle name="Percent 3 2 2 8 4 3" xfId="32100"/>
    <cellStyle name="Percent 3 2 2 8 5" xfId="32101"/>
    <cellStyle name="Percent 3 2 2 8 5 2" xfId="32102"/>
    <cellStyle name="Percent 3 2 2 8 6" xfId="32103"/>
    <cellStyle name="Percent 3 2 2 8 6 2" xfId="37393"/>
    <cellStyle name="Percent 3 2 2 8 7" xfId="32104"/>
    <cellStyle name="Percent 3 2 2 9" xfId="32105"/>
    <cellStyle name="Percent 3 2 2 9 2" xfId="32106"/>
    <cellStyle name="Percent 3 2 2 9 2 2" xfId="32107"/>
    <cellStyle name="Percent 3 2 2 9 2 2 2" xfId="32108"/>
    <cellStyle name="Percent 3 2 2 9 2 3" xfId="32109"/>
    <cellStyle name="Percent 3 2 2 9 3" xfId="32110"/>
    <cellStyle name="Percent 3 2 2 9 3 2" xfId="32111"/>
    <cellStyle name="Percent 3 2 2 9 4" xfId="32112"/>
    <cellStyle name="Percent 3 2 3" xfId="32113"/>
    <cellStyle name="Percent 3 2 3 10" xfId="32114"/>
    <cellStyle name="Percent 3 2 3 10 2" xfId="32115"/>
    <cellStyle name="Percent 3 2 3 10 2 2" xfId="32116"/>
    <cellStyle name="Percent 3 2 3 10 3" xfId="32117"/>
    <cellStyle name="Percent 3 2 3 11" xfId="32118"/>
    <cellStyle name="Percent 3 2 3 11 2" xfId="32119"/>
    <cellStyle name="Percent 3 2 3 11 2 2" xfId="32120"/>
    <cellStyle name="Percent 3 2 3 11 3" xfId="32121"/>
    <cellStyle name="Percent 3 2 3 12" xfId="32122"/>
    <cellStyle name="Percent 3 2 3 12 2" xfId="32123"/>
    <cellStyle name="Percent 3 2 3 13" xfId="32124"/>
    <cellStyle name="Percent 3 2 3 13 2" xfId="37394"/>
    <cellStyle name="Percent 3 2 3 14" xfId="32125"/>
    <cellStyle name="Percent 3 2 3 2" xfId="32126"/>
    <cellStyle name="Percent 3 2 3 2 10" xfId="32127"/>
    <cellStyle name="Percent 3 2 3 2 2" xfId="32128"/>
    <cellStyle name="Percent 3 2 3 2 2 2" xfId="32129"/>
    <cellStyle name="Percent 3 2 3 2 2 2 2" xfId="32130"/>
    <cellStyle name="Percent 3 2 3 2 2 2 2 2" xfId="32131"/>
    <cellStyle name="Percent 3 2 3 2 2 2 2 2 2" xfId="32132"/>
    <cellStyle name="Percent 3 2 3 2 2 2 2 2 2 2" xfId="32133"/>
    <cellStyle name="Percent 3 2 3 2 2 2 2 2 2 3" xfId="32134"/>
    <cellStyle name="Percent 3 2 3 2 2 2 2 2 3" xfId="32135"/>
    <cellStyle name="Percent 3 2 3 2 2 2 2 2 3 2" xfId="32136"/>
    <cellStyle name="Percent 3 2 3 2 2 2 2 2 4" xfId="32137"/>
    <cellStyle name="Percent 3 2 3 2 2 2 2 3" xfId="32138"/>
    <cellStyle name="Percent 3 2 3 2 2 2 2 3 2" xfId="32139"/>
    <cellStyle name="Percent 3 2 3 2 2 2 2 3 2 2" xfId="32140"/>
    <cellStyle name="Percent 3 2 3 2 2 2 2 3 3" xfId="32141"/>
    <cellStyle name="Percent 3 2 3 2 2 2 2 4" xfId="32142"/>
    <cellStyle name="Percent 3 2 3 2 2 2 2 4 2" xfId="32143"/>
    <cellStyle name="Percent 3 2 3 2 2 2 2 4 3" xfId="32144"/>
    <cellStyle name="Percent 3 2 3 2 2 2 2 5" xfId="32145"/>
    <cellStyle name="Percent 3 2 3 2 2 2 2 5 2" xfId="32146"/>
    <cellStyle name="Percent 3 2 3 2 2 2 2 6" xfId="32147"/>
    <cellStyle name="Percent 3 2 3 2 2 2 2 6 2" xfId="37395"/>
    <cellStyle name="Percent 3 2 3 2 2 2 2 7" xfId="32148"/>
    <cellStyle name="Percent 3 2 3 2 2 2 3" xfId="32149"/>
    <cellStyle name="Percent 3 2 3 2 2 2 3 2" xfId="32150"/>
    <cellStyle name="Percent 3 2 3 2 2 2 3 2 2" xfId="32151"/>
    <cellStyle name="Percent 3 2 3 2 2 2 3 2 2 2" xfId="32152"/>
    <cellStyle name="Percent 3 2 3 2 2 2 3 2 3" xfId="32153"/>
    <cellStyle name="Percent 3 2 3 2 2 2 3 3" xfId="32154"/>
    <cellStyle name="Percent 3 2 3 2 2 2 3 3 2" xfId="32155"/>
    <cellStyle name="Percent 3 2 3 2 2 2 3 4" xfId="32156"/>
    <cellStyle name="Percent 3 2 3 2 2 2 4" xfId="32157"/>
    <cellStyle name="Percent 3 2 3 2 2 2 4 2" xfId="32158"/>
    <cellStyle name="Percent 3 2 3 2 2 2 4 2 2" xfId="32159"/>
    <cellStyle name="Percent 3 2 3 2 2 2 4 3" xfId="32160"/>
    <cellStyle name="Percent 3 2 3 2 2 2 5" xfId="32161"/>
    <cellStyle name="Percent 3 2 3 2 2 2 5 2" xfId="32162"/>
    <cellStyle name="Percent 3 2 3 2 2 2 5 2 2" xfId="32163"/>
    <cellStyle name="Percent 3 2 3 2 2 2 5 3" xfId="32164"/>
    <cellStyle name="Percent 3 2 3 2 2 2 6" xfId="32165"/>
    <cellStyle name="Percent 3 2 3 2 2 2 6 2" xfId="32166"/>
    <cellStyle name="Percent 3 2 3 2 2 2 7" xfId="32167"/>
    <cellStyle name="Percent 3 2 3 2 2 2 7 2" xfId="37396"/>
    <cellStyle name="Percent 3 2 3 2 2 2 8" xfId="32168"/>
    <cellStyle name="Percent 3 2 3 2 2 3" xfId="32169"/>
    <cellStyle name="Percent 3 2 3 2 2 3 2" xfId="32170"/>
    <cellStyle name="Percent 3 2 3 2 2 3 2 2" xfId="32171"/>
    <cellStyle name="Percent 3 2 3 2 2 3 2 2 2" xfId="32172"/>
    <cellStyle name="Percent 3 2 3 2 2 3 2 2 3" xfId="32173"/>
    <cellStyle name="Percent 3 2 3 2 2 3 2 3" xfId="32174"/>
    <cellStyle name="Percent 3 2 3 2 2 3 2 3 2" xfId="32175"/>
    <cellStyle name="Percent 3 2 3 2 2 3 2 4" xfId="32176"/>
    <cellStyle name="Percent 3 2 3 2 2 3 3" xfId="32177"/>
    <cellStyle name="Percent 3 2 3 2 2 3 3 2" xfId="32178"/>
    <cellStyle name="Percent 3 2 3 2 2 3 3 2 2" xfId="32179"/>
    <cellStyle name="Percent 3 2 3 2 2 3 3 3" xfId="32180"/>
    <cellStyle name="Percent 3 2 3 2 2 3 4" xfId="32181"/>
    <cellStyle name="Percent 3 2 3 2 2 3 4 2" xfId="32182"/>
    <cellStyle name="Percent 3 2 3 2 2 3 4 3" xfId="32183"/>
    <cellStyle name="Percent 3 2 3 2 2 3 5" xfId="32184"/>
    <cellStyle name="Percent 3 2 3 2 2 3 5 2" xfId="32185"/>
    <cellStyle name="Percent 3 2 3 2 2 3 6" xfId="32186"/>
    <cellStyle name="Percent 3 2 3 2 2 3 6 2" xfId="37397"/>
    <cellStyle name="Percent 3 2 3 2 2 3 7" xfId="32187"/>
    <cellStyle name="Percent 3 2 3 2 2 4" xfId="32188"/>
    <cellStyle name="Percent 3 2 3 2 2 4 2" xfId="32189"/>
    <cellStyle name="Percent 3 2 3 2 2 4 2 2" xfId="32190"/>
    <cellStyle name="Percent 3 2 3 2 2 4 2 2 2" xfId="32191"/>
    <cellStyle name="Percent 3 2 3 2 2 4 2 3" xfId="32192"/>
    <cellStyle name="Percent 3 2 3 2 2 4 3" xfId="32193"/>
    <cellStyle name="Percent 3 2 3 2 2 4 3 2" xfId="32194"/>
    <cellStyle name="Percent 3 2 3 2 2 4 4" xfId="32195"/>
    <cellStyle name="Percent 3 2 3 2 2 5" xfId="32196"/>
    <cellStyle name="Percent 3 2 3 2 2 5 2" xfId="32197"/>
    <cellStyle name="Percent 3 2 3 2 2 5 2 2" xfId="32198"/>
    <cellStyle name="Percent 3 2 3 2 2 5 3" xfId="32199"/>
    <cellStyle name="Percent 3 2 3 2 2 6" xfId="32200"/>
    <cellStyle name="Percent 3 2 3 2 2 6 2" xfId="32201"/>
    <cellStyle name="Percent 3 2 3 2 2 6 2 2" xfId="32202"/>
    <cellStyle name="Percent 3 2 3 2 2 6 3" xfId="32203"/>
    <cellStyle name="Percent 3 2 3 2 2 7" xfId="32204"/>
    <cellStyle name="Percent 3 2 3 2 2 7 2" xfId="32205"/>
    <cellStyle name="Percent 3 2 3 2 2 8" xfId="32206"/>
    <cellStyle name="Percent 3 2 3 2 2 8 2" xfId="37398"/>
    <cellStyle name="Percent 3 2 3 2 2 9" xfId="32207"/>
    <cellStyle name="Percent 3 2 3 2 3" xfId="32208"/>
    <cellStyle name="Percent 3 2 3 2 3 2" xfId="32209"/>
    <cellStyle name="Percent 3 2 3 2 3 2 2" xfId="32210"/>
    <cellStyle name="Percent 3 2 3 2 3 2 2 2" xfId="32211"/>
    <cellStyle name="Percent 3 2 3 2 3 2 2 2 2" xfId="32212"/>
    <cellStyle name="Percent 3 2 3 2 3 2 2 2 3" xfId="32213"/>
    <cellStyle name="Percent 3 2 3 2 3 2 2 3" xfId="32214"/>
    <cellStyle name="Percent 3 2 3 2 3 2 2 3 2" xfId="32215"/>
    <cellStyle name="Percent 3 2 3 2 3 2 2 4" xfId="32216"/>
    <cellStyle name="Percent 3 2 3 2 3 2 3" xfId="32217"/>
    <cellStyle name="Percent 3 2 3 2 3 2 3 2" xfId="32218"/>
    <cellStyle name="Percent 3 2 3 2 3 2 3 2 2" xfId="32219"/>
    <cellStyle name="Percent 3 2 3 2 3 2 3 3" xfId="32220"/>
    <cellStyle name="Percent 3 2 3 2 3 2 4" xfId="32221"/>
    <cellStyle name="Percent 3 2 3 2 3 2 4 2" xfId="32222"/>
    <cellStyle name="Percent 3 2 3 2 3 2 4 3" xfId="32223"/>
    <cellStyle name="Percent 3 2 3 2 3 2 5" xfId="32224"/>
    <cellStyle name="Percent 3 2 3 2 3 2 5 2" xfId="32225"/>
    <cellStyle name="Percent 3 2 3 2 3 2 6" xfId="32226"/>
    <cellStyle name="Percent 3 2 3 2 3 2 6 2" xfId="37399"/>
    <cellStyle name="Percent 3 2 3 2 3 2 7" xfId="32227"/>
    <cellStyle name="Percent 3 2 3 2 3 3" xfId="32228"/>
    <cellStyle name="Percent 3 2 3 2 3 3 2" xfId="32229"/>
    <cellStyle name="Percent 3 2 3 2 3 3 2 2" xfId="32230"/>
    <cellStyle name="Percent 3 2 3 2 3 3 2 2 2" xfId="32231"/>
    <cellStyle name="Percent 3 2 3 2 3 3 2 3" xfId="32232"/>
    <cellStyle name="Percent 3 2 3 2 3 3 3" xfId="32233"/>
    <cellStyle name="Percent 3 2 3 2 3 3 3 2" xfId="32234"/>
    <cellStyle name="Percent 3 2 3 2 3 3 4" xfId="32235"/>
    <cellStyle name="Percent 3 2 3 2 3 4" xfId="32236"/>
    <cellStyle name="Percent 3 2 3 2 3 4 2" xfId="32237"/>
    <cellStyle name="Percent 3 2 3 2 3 4 2 2" xfId="32238"/>
    <cellStyle name="Percent 3 2 3 2 3 4 3" xfId="32239"/>
    <cellStyle name="Percent 3 2 3 2 3 5" xfId="32240"/>
    <cellStyle name="Percent 3 2 3 2 3 5 2" xfId="32241"/>
    <cellStyle name="Percent 3 2 3 2 3 5 2 2" xfId="32242"/>
    <cellStyle name="Percent 3 2 3 2 3 5 3" xfId="32243"/>
    <cellStyle name="Percent 3 2 3 2 3 6" xfId="32244"/>
    <cellStyle name="Percent 3 2 3 2 3 6 2" xfId="32245"/>
    <cellStyle name="Percent 3 2 3 2 3 7" xfId="32246"/>
    <cellStyle name="Percent 3 2 3 2 3 7 2" xfId="37400"/>
    <cellStyle name="Percent 3 2 3 2 3 8" xfId="32247"/>
    <cellStyle name="Percent 3 2 3 2 4" xfId="32248"/>
    <cellStyle name="Percent 3 2 3 2 4 2" xfId="32249"/>
    <cellStyle name="Percent 3 2 3 2 4 2 2" xfId="32250"/>
    <cellStyle name="Percent 3 2 3 2 4 2 2 2" xfId="32251"/>
    <cellStyle name="Percent 3 2 3 2 4 2 2 3" xfId="32252"/>
    <cellStyle name="Percent 3 2 3 2 4 2 3" xfId="32253"/>
    <cellStyle name="Percent 3 2 3 2 4 2 3 2" xfId="32254"/>
    <cellStyle name="Percent 3 2 3 2 4 2 4" xfId="32255"/>
    <cellStyle name="Percent 3 2 3 2 4 3" xfId="32256"/>
    <cellStyle name="Percent 3 2 3 2 4 3 2" xfId="32257"/>
    <cellStyle name="Percent 3 2 3 2 4 3 2 2" xfId="32258"/>
    <cellStyle name="Percent 3 2 3 2 4 3 3" xfId="32259"/>
    <cellStyle name="Percent 3 2 3 2 4 4" xfId="32260"/>
    <cellStyle name="Percent 3 2 3 2 4 4 2" xfId="32261"/>
    <cellStyle name="Percent 3 2 3 2 4 4 3" xfId="32262"/>
    <cellStyle name="Percent 3 2 3 2 4 5" xfId="32263"/>
    <cellStyle name="Percent 3 2 3 2 4 5 2" xfId="32264"/>
    <cellStyle name="Percent 3 2 3 2 4 6" xfId="32265"/>
    <cellStyle name="Percent 3 2 3 2 4 6 2" xfId="37401"/>
    <cellStyle name="Percent 3 2 3 2 4 7" xfId="32266"/>
    <cellStyle name="Percent 3 2 3 2 5" xfId="32267"/>
    <cellStyle name="Percent 3 2 3 2 5 2" xfId="32268"/>
    <cellStyle name="Percent 3 2 3 2 5 2 2" xfId="32269"/>
    <cellStyle name="Percent 3 2 3 2 5 2 2 2" xfId="32270"/>
    <cellStyle name="Percent 3 2 3 2 5 2 3" xfId="32271"/>
    <cellStyle name="Percent 3 2 3 2 5 3" xfId="32272"/>
    <cellStyle name="Percent 3 2 3 2 5 3 2" xfId="32273"/>
    <cellStyle name="Percent 3 2 3 2 5 4" xfId="32274"/>
    <cellStyle name="Percent 3 2 3 2 6" xfId="32275"/>
    <cellStyle name="Percent 3 2 3 2 6 2" xfId="32276"/>
    <cellStyle name="Percent 3 2 3 2 6 2 2" xfId="32277"/>
    <cellStyle name="Percent 3 2 3 2 6 3" xfId="32278"/>
    <cellStyle name="Percent 3 2 3 2 7" xfId="32279"/>
    <cellStyle name="Percent 3 2 3 2 7 2" xfId="32280"/>
    <cellStyle name="Percent 3 2 3 2 7 2 2" xfId="32281"/>
    <cellStyle name="Percent 3 2 3 2 7 3" xfId="32282"/>
    <cellStyle name="Percent 3 2 3 2 8" xfId="32283"/>
    <cellStyle name="Percent 3 2 3 2 8 2" xfId="32284"/>
    <cellStyle name="Percent 3 2 3 2 9" xfId="32285"/>
    <cellStyle name="Percent 3 2 3 2 9 2" xfId="37402"/>
    <cellStyle name="Percent 3 2 3 3" xfId="32286"/>
    <cellStyle name="Percent 3 2 3 3 2" xfId="32287"/>
    <cellStyle name="Percent 3 2 3 3 2 2" xfId="32288"/>
    <cellStyle name="Percent 3 2 3 3 2 2 2" xfId="32289"/>
    <cellStyle name="Percent 3 2 3 3 2 2 2 2" xfId="32290"/>
    <cellStyle name="Percent 3 2 3 3 2 2 2 2 2" xfId="32291"/>
    <cellStyle name="Percent 3 2 3 3 2 2 2 2 3" xfId="32292"/>
    <cellStyle name="Percent 3 2 3 3 2 2 2 3" xfId="32293"/>
    <cellStyle name="Percent 3 2 3 3 2 2 2 3 2" xfId="32294"/>
    <cellStyle name="Percent 3 2 3 3 2 2 2 4" xfId="32295"/>
    <cellStyle name="Percent 3 2 3 3 2 2 3" xfId="32296"/>
    <cellStyle name="Percent 3 2 3 3 2 2 3 2" xfId="32297"/>
    <cellStyle name="Percent 3 2 3 3 2 2 3 2 2" xfId="32298"/>
    <cellStyle name="Percent 3 2 3 3 2 2 3 3" xfId="32299"/>
    <cellStyle name="Percent 3 2 3 3 2 2 4" xfId="32300"/>
    <cellStyle name="Percent 3 2 3 3 2 2 4 2" xfId="32301"/>
    <cellStyle name="Percent 3 2 3 3 2 2 4 3" xfId="32302"/>
    <cellStyle name="Percent 3 2 3 3 2 2 5" xfId="32303"/>
    <cellStyle name="Percent 3 2 3 3 2 2 5 2" xfId="32304"/>
    <cellStyle name="Percent 3 2 3 3 2 2 6" xfId="32305"/>
    <cellStyle name="Percent 3 2 3 3 2 2 6 2" xfId="37403"/>
    <cellStyle name="Percent 3 2 3 3 2 2 7" xfId="32306"/>
    <cellStyle name="Percent 3 2 3 3 2 3" xfId="32307"/>
    <cellStyle name="Percent 3 2 3 3 2 3 2" xfId="32308"/>
    <cellStyle name="Percent 3 2 3 3 2 3 2 2" xfId="32309"/>
    <cellStyle name="Percent 3 2 3 3 2 3 2 2 2" xfId="32310"/>
    <cellStyle name="Percent 3 2 3 3 2 3 2 3" xfId="32311"/>
    <cellStyle name="Percent 3 2 3 3 2 3 3" xfId="32312"/>
    <cellStyle name="Percent 3 2 3 3 2 3 3 2" xfId="32313"/>
    <cellStyle name="Percent 3 2 3 3 2 3 4" xfId="32314"/>
    <cellStyle name="Percent 3 2 3 3 2 4" xfId="32315"/>
    <cellStyle name="Percent 3 2 3 3 2 4 2" xfId="32316"/>
    <cellStyle name="Percent 3 2 3 3 2 4 2 2" xfId="32317"/>
    <cellStyle name="Percent 3 2 3 3 2 4 3" xfId="32318"/>
    <cellStyle name="Percent 3 2 3 3 2 5" xfId="32319"/>
    <cellStyle name="Percent 3 2 3 3 2 5 2" xfId="32320"/>
    <cellStyle name="Percent 3 2 3 3 2 5 2 2" xfId="32321"/>
    <cellStyle name="Percent 3 2 3 3 2 5 3" xfId="32322"/>
    <cellStyle name="Percent 3 2 3 3 2 6" xfId="32323"/>
    <cellStyle name="Percent 3 2 3 3 2 6 2" xfId="32324"/>
    <cellStyle name="Percent 3 2 3 3 2 7" xfId="32325"/>
    <cellStyle name="Percent 3 2 3 3 2 7 2" xfId="37404"/>
    <cellStyle name="Percent 3 2 3 3 2 8" xfId="32326"/>
    <cellStyle name="Percent 3 2 3 3 3" xfId="32327"/>
    <cellStyle name="Percent 3 2 3 3 3 2" xfId="32328"/>
    <cellStyle name="Percent 3 2 3 3 3 2 2" xfId="32329"/>
    <cellStyle name="Percent 3 2 3 3 3 2 2 2" xfId="32330"/>
    <cellStyle name="Percent 3 2 3 3 3 2 2 3" xfId="32331"/>
    <cellStyle name="Percent 3 2 3 3 3 2 3" xfId="32332"/>
    <cellStyle name="Percent 3 2 3 3 3 2 3 2" xfId="32333"/>
    <cellStyle name="Percent 3 2 3 3 3 2 4" xfId="32334"/>
    <cellStyle name="Percent 3 2 3 3 3 3" xfId="32335"/>
    <cellStyle name="Percent 3 2 3 3 3 3 2" xfId="32336"/>
    <cellStyle name="Percent 3 2 3 3 3 3 2 2" xfId="32337"/>
    <cellStyle name="Percent 3 2 3 3 3 3 3" xfId="32338"/>
    <cellStyle name="Percent 3 2 3 3 3 4" xfId="32339"/>
    <cellStyle name="Percent 3 2 3 3 3 4 2" xfId="32340"/>
    <cellStyle name="Percent 3 2 3 3 3 4 3" xfId="32341"/>
    <cellStyle name="Percent 3 2 3 3 3 5" xfId="32342"/>
    <cellStyle name="Percent 3 2 3 3 3 5 2" xfId="32343"/>
    <cellStyle name="Percent 3 2 3 3 3 6" xfId="32344"/>
    <cellStyle name="Percent 3 2 3 3 3 6 2" xfId="37405"/>
    <cellStyle name="Percent 3 2 3 3 3 7" xfId="32345"/>
    <cellStyle name="Percent 3 2 3 3 4" xfId="32346"/>
    <cellStyle name="Percent 3 2 3 3 4 2" xfId="32347"/>
    <cellStyle name="Percent 3 2 3 3 4 2 2" xfId="32348"/>
    <cellStyle name="Percent 3 2 3 3 4 2 2 2" xfId="32349"/>
    <cellStyle name="Percent 3 2 3 3 4 2 3" xfId="32350"/>
    <cellStyle name="Percent 3 2 3 3 4 3" xfId="32351"/>
    <cellStyle name="Percent 3 2 3 3 4 3 2" xfId="32352"/>
    <cellStyle name="Percent 3 2 3 3 4 4" xfId="32353"/>
    <cellStyle name="Percent 3 2 3 3 5" xfId="32354"/>
    <cellStyle name="Percent 3 2 3 3 5 2" xfId="32355"/>
    <cellStyle name="Percent 3 2 3 3 5 2 2" xfId="32356"/>
    <cellStyle name="Percent 3 2 3 3 5 3" xfId="32357"/>
    <cellStyle name="Percent 3 2 3 3 6" xfId="32358"/>
    <cellStyle name="Percent 3 2 3 3 6 2" xfId="32359"/>
    <cellStyle name="Percent 3 2 3 3 6 2 2" xfId="32360"/>
    <cellStyle name="Percent 3 2 3 3 6 3" xfId="32361"/>
    <cellStyle name="Percent 3 2 3 3 7" xfId="32362"/>
    <cellStyle name="Percent 3 2 3 3 7 2" xfId="32363"/>
    <cellStyle name="Percent 3 2 3 3 8" xfId="32364"/>
    <cellStyle name="Percent 3 2 3 3 8 2" xfId="37406"/>
    <cellStyle name="Percent 3 2 3 3 9" xfId="32365"/>
    <cellStyle name="Percent 3 2 3 4" xfId="32366"/>
    <cellStyle name="Percent 3 2 3 4 2" xfId="32367"/>
    <cellStyle name="Percent 3 2 3 4 2 2" xfId="32368"/>
    <cellStyle name="Percent 3 2 3 4 2 2 2" xfId="32369"/>
    <cellStyle name="Percent 3 2 3 4 2 2 2 2" xfId="32370"/>
    <cellStyle name="Percent 3 2 3 4 2 2 2 2 2" xfId="32371"/>
    <cellStyle name="Percent 3 2 3 4 2 2 2 2 3" xfId="32372"/>
    <cellStyle name="Percent 3 2 3 4 2 2 2 3" xfId="32373"/>
    <cellStyle name="Percent 3 2 3 4 2 2 2 3 2" xfId="32374"/>
    <cellStyle name="Percent 3 2 3 4 2 2 2 4" xfId="32375"/>
    <cellStyle name="Percent 3 2 3 4 2 2 3" xfId="32376"/>
    <cellStyle name="Percent 3 2 3 4 2 2 3 2" xfId="32377"/>
    <cellStyle name="Percent 3 2 3 4 2 2 3 2 2" xfId="32378"/>
    <cellStyle name="Percent 3 2 3 4 2 2 3 3" xfId="32379"/>
    <cellStyle name="Percent 3 2 3 4 2 2 4" xfId="32380"/>
    <cellStyle name="Percent 3 2 3 4 2 2 4 2" xfId="32381"/>
    <cellStyle name="Percent 3 2 3 4 2 2 4 3" xfId="32382"/>
    <cellStyle name="Percent 3 2 3 4 2 2 5" xfId="32383"/>
    <cellStyle name="Percent 3 2 3 4 2 2 5 2" xfId="32384"/>
    <cellStyle name="Percent 3 2 3 4 2 2 6" xfId="32385"/>
    <cellStyle name="Percent 3 2 3 4 2 2 6 2" xfId="37407"/>
    <cellStyle name="Percent 3 2 3 4 2 2 7" xfId="32386"/>
    <cellStyle name="Percent 3 2 3 4 2 3" xfId="32387"/>
    <cellStyle name="Percent 3 2 3 4 2 3 2" xfId="32388"/>
    <cellStyle name="Percent 3 2 3 4 2 3 2 2" xfId="32389"/>
    <cellStyle name="Percent 3 2 3 4 2 3 2 2 2" xfId="32390"/>
    <cellStyle name="Percent 3 2 3 4 2 3 2 3" xfId="32391"/>
    <cellStyle name="Percent 3 2 3 4 2 3 3" xfId="32392"/>
    <cellStyle name="Percent 3 2 3 4 2 3 3 2" xfId="32393"/>
    <cellStyle name="Percent 3 2 3 4 2 3 4" xfId="32394"/>
    <cellStyle name="Percent 3 2 3 4 2 4" xfId="32395"/>
    <cellStyle name="Percent 3 2 3 4 2 4 2" xfId="32396"/>
    <cellStyle name="Percent 3 2 3 4 2 4 2 2" xfId="32397"/>
    <cellStyle name="Percent 3 2 3 4 2 4 3" xfId="32398"/>
    <cellStyle name="Percent 3 2 3 4 2 5" xfId="32399"/>
    <cellStyle name="Percent 3 2 3 4 2 5 2" xfId="32400"/>
    <cellStyle name="Percent 3 2 3 4 2 5 2 2" xfId="32401"/>
    <cellStyle name="Percent 3 2 3 4 2 5 3" xfId="32402"/>
    <cellStyle name="Percent 3 2 3 4 2 6" xfId="32403"/>
    <cellStyle name="Percent 3 2 3 4 2 6 2" xfId="32404"/>
    <cellStyle name="Percent 3 2 3 4 2 7" xfId="32405"/>
    <cellStyle name="Percent 3 2 3 4 2 7 2" xfId="37408"/>
    <cellStyle name="Percent 3 2 3 4 2 8" xfId="32406"/>
    <cellStyle name="Percent 3 2 3 4 3" xfId="32407"/>
    <cellStyle name="Percent 3 2 3 4 3 2" xfId="32408"/>
    <cellStyle name="Percent 3 2 3 4 3 2 2" xfId="32409"/>
    <cellStyle name="Percent 3 2 3 4 3 2 2 2" xfId="32410"/>
    <cellStyle name="Percent 3 2 3 4 3 2 2 3" xfId="32411"/>
    <cellStyle name="Percent 3 2 3 4 3 2 3" xfId="32412"/>
    <cellStyle name="Percent 3 2 3 4 3 2 3 2" xfId="32413"/>
    <cellStyle name="Percent 3 2 3 4 3 2 4" xfId="32414"/>
    <cellStyle name="Percent 3 2 3 4 3 3" xfId="32415"/>
    <cellStyle name="Percent 3 2 3 4 3 3 2" xfId="32416"/>
    <cellStyle name="Percent 3 2 3 4 3 3 2 2" xfId="32417"/>
    <cellStyle name="Percent 3 2 3 4 3 3 3" xfId="32418"/>
    <cellStyle name="Percent 3 2 3 4 3 4" xfId="32419"/>
    <cellStyle name="Percent 3 2 3 4 3 4 2" xfId="32420"/>
    <cellStyle name="Percent 3 2 3 4 3 4 3" xfId="32421"/>
    <cellStyle name="Percent 3 2 3 4 3 5" xfId="32422"/>
    <cellStyle name="Percent 3 2 3 4 3 5 2" xfId="32423"/>
    <cellStyle name="Percent 3 2 3 4 3 6" xfId="32424"/>
    <cellStyle name="Percent 3 2 3 4 3 6 2" xfId="37409"/>
    <cellStyle name="Percent 3 2 3 4 3 7" xfId="32425"/>
    <cellStyle name="Percent 3 2 3 4 4" xfId="32426"/>
    <cellStyle name="Percent 3 2 3 4 4 2" xfId="32427"/>
    <cellStyle name="Percent 3 2 3 4 4 2 2" xfId="32428"/>
    <cellStyle name="Percent 3 2 3 4 4 2 2 2" xfId="32429"/>
    <cellStyle name="Percent 3 2 3 4 4 2 3" xfId="32430"/>
    <cellStyle name="Percent 3 2 3 4 4 3" xfId="32431"/>
    <cellStyle name="Percent 3 2 3 4 4 3 2" xfId="32432"/>
    <cellStyle name="Percent 3 2 3 4 4 4" xfId="32433"/>
    <cellStyle name="Percent 3 2 3 4 5" xfId="32434"/>
    <cellStyle name="Percent 3 2 3 4 5 2" xfId="32435"/>
    <cellStyle name="Percent 3 2 3 4 5 2 2" xfId="32436"/>
    <cellStyle name="Percent 3 2 3 4 5 3" xfId="32437"/>
    <cellStyle name="Percent 3 2 3 4 6" xfId="32438"/>
    <cellStyle name="Percent 3 2 3 4 6 2" xfId="32439"/>
    <cellStyle name="Percent 3 2 3 4 6 2 2" xfId="32440"/>
    <cellStyle name="Percent 3 2 3 4 6 3" xfId="32441"/>
    <cellStyle name="Percent 3 2 3 4 7" xfId="32442"/>
    <cellStyle name="Percent 3 2 3 4 7 2" xfId="32443"/>
    <cellStyle name="Percent 3 2 3 4 8" xfId="32444"/>
    <cellStyle name="Percent 3 2 3 4 8 2" xfId="37410"/>
    <cellStyle name="Percent 3 2 3 4 9" xfId="32445"/>
    <cellStyle name="Percent 3 2 3 5" xfId="32446"/>
    <cellStyle name="Percent 3 2 3 5 2" xfId="32447"/>
    <cellStyle name="Percent 3 2 3 5 2 2" xfId="32448"/>
    <cellStyle name="Percent 3 2 3 5 2 2 2" xfId="32449"/>
    <cellStyle name="Percent 3 2 3 5 2 2 2 2" xfId="32450"/>
    <cellStyle name="Percent 3 2 3 5 2 2 2 3" xfId="32451"/>
    <cellStyle name="Percent 3 2 3 5 2 2 3" xfId="32452"/>
    <cellStyle name="Percent 3 2 3 5 2 2 3 2" xfId="32453"/>
    <cellStyle name="Percent 3 2 3 5 2 2 4" xfId="32454"/>
    <cellStyle name="Percent 3 2 3 5 2 3" xfId="32455"/>
    <cellStyle name="Percent 3 2 3 5 2 3 2" xfId="32456"/>
    <cellStyle name="Percent 3 2 3 5 2 3 2 2" xfId="32457"/>
    <cellStyle name="Percent 3 2 3 5 2 3 3" xfId="32458"/>
    <cellStyle name="Percent 3 2 3 5 2 4" xfId="32459"/>
    <cellStyle name="Percent 3 2 3 5 2 4 2" xfId="32460"/>
    <cellStyle name="Percent 3 2 3 5 2 4 3" xfId="32461"/>
    <cellStyle name="Percent 3 2 3 5 2 5" xfId="32462"/>
    <cellStyle name="Percent 3 2 3 5 2 5 2" xfId="32463"/>
    <cellStyle name="Percent 3 2 3 5 2 6" xfId="32464"/>
    <cellStyle name="Percent 3 2 3 5 2 6 2" xfId="37411"/>
    <cellStyle name="Percent 3 2 3 5 2 7" xfId="32465"/>
    <cellStyle name="Percent 3 2 3 5 3" xfId="32466"/>
    <cellStyle name="Percent 3 2 3 5 3 2" xfId="32467"/>
    <cellStyle name="Percent 3 2 3 5 3 2 2" xfId="32468"/>
    <cellStyle name="Percent 3 2 3 5 3 2 2 2" xfId="32469"/>
    <cellStyle name="Percent 3 2 3 5 3 2 3" xfId="32470"/>
    <cellStyle name="Percent 3 2 3 5 3 3" xfId="32471"/>
    <cellStyle name="Percent 3 2 3 5 3 3 2" xfId="32472"/>
    <cellStyle name="Percent 3 2 3 5 3 4" xfId="32473"/>
    <cellStyle name="Percent 3 2 3 5 4" xfId="32474"/>
    <cellStyle name="Percent 3 2 3 5 4 2" xfId="32475"/>
    <cellStyle name="Percent 3 2 3 5 4 2 2" xfId="32476"/>
    <cellStyle name="Percent 3 2 3 5 4 3" xfId="32477"/>
    <cellStyle name="Percent 3 2 3 5 5" xfId="32478"/>
    <cellStyle name="Percent 3 2 3 5 5 2" xfId="32479"/>
    <cellStyle name="Percent 3 2 3 5 5 2 2" xfId="32480"/>
    <cellStyle name="Percent 3 2 3 5 5 3" xfId="32481"/>
    <cellStyle name="Percent 3 2 3 5 6" xfId="32482"/>
    <cellStyle name="Percent 3 2 3 5 6 2" xfId="32483"/>
    <cellStyle name="Percent 3 2 3 5 7" xfId="32484"/>
    <cellStyle name="Percent 3 2 3 5 7 2" xfId="37412"/>
    <cellStyle name="Percent 3 2 3 5 8" xfId="32485"/>
    <cellStyle name="Percent 3 2 3 6" xfId="32486"/>
    <cellStyle name="Percent 3 2 3 6 2" xfId="32487"/>
    <cellStyle name="Percent 3 2 3 6 2 2" xfId="32488"/>
    <cellStyle name="Percent 3 2 3 6 2 2 2" xfId="32489"/>
    <cellStyle name="Percent 3 2 3 6 2 2 2 2" xfId="32490"/>
    <cellStyle name="Percent 3 2 3 6 2 2 2 3" xfId="32491"/>
    <cellStyle name="Percent 3 2 3 6 2 2 3" xfId="32492"/>
    <cellStyle name="Percent 3 2 3 6 2 2 3 2" xfId="32493"/>
    <cellStyle name="Percent 3 2 3 6 2 2 4" xfId="32494"/>
    <cellStyle name="Percent 3 2 3 6 2 3" xfId="32495"/>
    <cellStyle name="Percent 3 2 3 6 2 3 2" xfId="32496"/>
    <cellStyle name="Percent 3 2 3 6 2 3 2 2" xfId="32497"/>
    <cellStyle name="Percent 3 2 3 6 2 3 3" xfId="32498"/>
    <cellStyle name="Percent 3 2 3 6 2 4" xfId="32499"/>
    <cellStyle name="Percent 3 2 3 6 2 4 2" xfId="32500"/>
    <cellStyle name="Percent 3 2 3 6 2 4 3" xfId="32501"/>
    <cellStyle name="Percent 3 2 3 6 2 5" xfId="32502"/>
    <cellStyle name="Percent 3 2 3 6 2 5 2" xfId="32503"/>
    <cellStyle name="Percent 3 2 3 6 2 6" xfId="32504"/>
    <cellStyle name="Percent 3 2 3 6 2 6 2" xfId="37413"/>
    <cellStyle name="Percent 3 2 3 6 2 7" xfId="32505"/>
    <cellStyle name="Percent 3 2 3 6 3" xfId="32506"/>
    <cellStyle name="Percent 3 2 3 6 3 2" xfId="32507"/>
    <cellStyle name="Percent 3 2 3 6 3 2 2" xfId="32508"/>
    <cellStyle name="Percent 3 2 3 6 3 2 2 2" xfId="32509"/>
    <cellStyle name="Percent 3 2 3 6 3 2 3" xfId="32510"/>
    <cellStyle name="Percent 3 2 3 6 3 3" xfId="32511"/>
    <cellStyle name="Percent 3 2 3 6 3 3 2" xfId="32512"/>
    <cellStyle name="Percent 3 2 3 6 3 4" xfId="32513"/>
    <cellStyle name="Percent 3 2 3 6 4" xfId="32514"/>
    <cellStyle name="Percent 3 2 3 6 4 2" xfId="32515"/>
    <cellStyle name="Percent 3 2 3 6 4 2 2" xfId="32516"/>
    <cellStyle name="Percent 3 2 3 6 4 3" xfId="32517"/>
    <cellStyle name="Percent 3 2 3 6 5" xfId="32518"/>
    <cellStyle name="Percent 3 2 3 6 5 2" xfId="32519"/>
    <cellStyle name="Percent 3 2 3 6 5 2 2" xfId="32520"/>
    <cellStyle name="Percent 3 2 3 6 5 3" xfId="32521"/>
    <cellStyle name="Percent 3 2 3 6 6" xfId="32522"/>
    <cellStyle name="Percent 3 2 3 6 6 2" xfId="32523"/>
    <cellStyle name="Percent 3 2 3 6 7" xfId="32524"/>
    <cellStyle name="Percent 3 2 3 6 7 2" xfId="37414"/>
    <cellStyle name="Percent 3 2 3 6 8" xfId="32525"/>
    <cellStyle name="Percent 3 2 3 7" xfId="32526"/>
    <cellStyle name="Percent 3 2 3 7 2" xfId="32527"/>
    <cellStyle name="Percent 3 2 3 7 2 2" xfId="32528"/>
    <cellStyle name="Percent 3 2 3 7 2 2 2" xfId="32529"/>
    <cellStyle name="Percent 3 2 3 7 2 2 2 2" xfId="32530"/>
    <cellStyle name="Percent 3 2 3 7 2 2 2 3" xfId="32531"/>
    <cellStyle name="Percent 3 2 3 7 2 2 3" xfId="32532"/>
    <cellStyle name="Percent 3 2 3 7 2 2 3 2" xfId="32533"/>
    <cellStyle name="Percent 3 2 3 7 2 2 4" xfId="32534"/>
    <cellStyle name="Percent 3 2 3 7 2 3" xfId="32535"/>
    <cellStyle name="Percent 3 2 3 7 2 3 2" xfId="32536"/>
    <cellStyle name="Percent 3 2 3 7 2 3 2 2" xfId="32537"/>
    <cellStyle name="Percent 3 2 3 7 2 3 3" xfId="32538"/>
    <cellStyle name="Percent 3 2 3 7 2 4" xfId="32539"/>
    <cellStyle name="Percent 3 2 3 7 2 4 2" xfId="32540"/>
    <cellStyle name="Percent 3 2 3 7 2 4 3" xfId="32541"/>
    <cellStyle name="Percent 3 2 3 7 2 5" xfId="32542"/>
    <cellStyle name="Percent 3 2 3 7 2 5 2" xfId="32543"/>
    <cellStyle name="Percent 3 2 3 7 2 6" xfId="32544"/>
    <cellStyle name="Percent 3 2 3 7 2 6 2" xfId="37415"/>
    <cellStyle name="Percent 3 2 3 7 2 7" xfId="32545"/>
    <cellStyle name="Percent 3 2 3 7 3" xfId="32546"/>
    <cellStyle name="Percent 3 2 3 7 3 2" xfId="32547"/>
    <cellStyle name="Percent 3 2 3 7 3 2 2" xfId="32548"/>
    <cellStyle name="Percent 3 2 3 7 3 2 2 2" xfId="32549"/>
    <cellStyle name="Percent 3 2 3 7 3 2 3" xfId="32550"/>
    <cellStyle name="Percent 3 2 3 7 3 3" xfId="32551"/>
    <cellStyle name="Percent 3 2 3 7 3 3 2" xfId="32552"/>
    <cellStyle name="Percent 3 2 3 7 3 4" xfId="32553"/>
    <cellStyle name="Percent 3 2 3 7 4" xfId="32554"/>
    <cellStyle name="Percent 3 2 3 7 4 2" xfId="32555"/>
    <cellStyle name="Percent 3 2 3 7 4 2 2" xfId="32556"/>
    <cellStyle name="Percent 3 2 3 7 4 3" xfId="32557"/>
    <cellStyle name="Percent 3 2 3 7 5" xfId="32558"/>
    <cellStyle name="Percent 3 2 3 7 5 2" xfId="32559"/>
    <cellStyle name="Percent 3 2 3 7 5 2 2" xfId="32560"/>
    <cellStyle name="Percent 3 2 3 7 5 3" xfId="32561"/>
    <cellStyle name="Percent 3 2 3 7 6" xfId="32562"/>
    <cellStyle name="Percent 3 2 3 7 6 2" xfId="32563"/>
    <cellStyle name="Percent 3 2 3 7 7" xfId="32564"/>
    <cellStyle name="Percent 3 2 3 7 7 2" xfId="37416"/>
    <cellStyle name="Percent 3 2 3 7 8" xfId="32565"/>
    <cellStyle name="Percent 3 2 3 8" xfId="32566"/>
    <cellStyle name="Percent 3 2 3 8 2" xfId="32567"/>
    <cellStyle name="Percent 3 2 3 8 2 2" xfId="32568"/>
    <cellStyle name="Percent 3 2 3 8 2 2 2" xfId="32569"/>
    <cellStyle name="Percent 3 2 3 8 2 2 3" xfId="32570"/>
    <cellStyle name="Percent 3 2 3 8 2 3" xfId="32571"/>
    <cellStyle name="Percent 3 2 3 8 2 3 2" xfId="32572"/>
    <cellStyle name="Percent 3 2 3 8 2 4" xfId="32573"/>
    <cellStyle name="Percent 3 2 3 8 3" xfId="32574"/>
    <cellStyle name="Percent 3 2 3 8 3 2" xfId="32575"/>
    <cellStyle name="Percent 3 2 3 8 3 2 2" xfId="32576"/>
    <cellStyle name="Percent 3 2 3 8 3 3" xfId="32577"/>
    <cellStyle name="Percent 3 2 3 8 4" xfId="32578"/>
    <cellStyle name="Percent 3 2 3 8 4 2" xfId="32579"/>
    <cellStyle name="Percent 3 2 3 8 4 3" xfId="32580"/>
    <cellStyle name="Percent 3 2 3 8 5" xfId="32581"/>
    <cellStyle name="Percent 3 2 3 8 5 2" xfId="32582"/>
    <cellStyle name="Percent 3 2 3 8 6" xfId="32583"/>
    <cellStyle name="Percent 3 2 3 8 6 2" xfId="37417"/>
    <cellStyle name="Percent 3 2 3 8 7" xfId="32584"/>
    <cellStyle name="Percent 3 2 3 9" xfId="32585"/>
    <cellStyle name="Percent 3 2 3 9 2" xfId="32586"/>
    <cellStyle name="Percent 3 2 3 9 2 2" xfId="32587"/>
    <cellStyle name="Percent 3 2 3 9 2 2 2" xfId="32588"/>
    <cellStyle name="Percent 3 2 3 9 2 3" xfId="32589"/>
    <cellStyle name="Percent 3 2 3 9 3" xfId="32590"/>
    <cellStyle name="Percent 3 2 3 9 3 2" xfId="32591"/>
    <cellStyle name="Percent 3 2 3 9 4" xfId="32592"/>
    <cellStyle name="Percent 3 2 4" xfId="32593"/>
    <cellStyle name="Percent 3 2 4 10" xfId="32594"/>
    <cellStyle name="Percent 3 2 4 10 2" xfId="32595"/>
    <cellStyle name="Percent 3 2 4 11" xfId="32596"/>
    <cellStyle name="Percent 3 2 4 11 2" xfId="37418"/>
    <cellStyle name="Percent 3 2 4 12" xfId="32597"/>
    <cellStyle name="Percent 3 2 4 2" xfId="32598"/>
    <cellStyle name="Percent 3 2 4 2 10" xfId="32599"/>
    <cellStyle name="Percent 3 2 4 2 2" xfId="32600"/>
    <cellStyle name="Percent 3 2 4 2 2 2" xfId="32601"/>
    <cellStyle name="Percent 3 2 4 2 2 2 2" xfId="32602"/>
    <cellStyle name="Percent 3 2 4 2 2 2 2 2" xfId="32603"/>
    <cellStyle name="Percent 3 2 4 2 2 2 2 2 2" xfId="32604"/>
    <cellStyle name="Percent 3 2 4 2 2 2 2 2 2 2" xfId="32605"/>
    <cellStyle name="Percent 3 2 4 2 2 2 2 2 2 3" xfId="32606"/>
    <cellStyle name="Percent 3 2 4 2 2 2 2 2 3" xfId="32607"/>
    <cellStyle name="Percent 3 2 4 2 2 2 2 2 3 2" xfId="32608"/>
    <cellStyle name="Percent 3 2 4 2 2 2 2 2 4" xfId="32609"/>
    <cellStyle name="Percent 3 2 4 2 2 2 2 3" xfId="32610"/>
    <cellStyle name="Percent 3 2 4 2 2 2 2 3 2" xfId="32611"/>
    <cellStyle name="Percent 3 2 4 2 2 2 2 3 2 2" xfId="32612"/>
    <cellStyle name="Percent 3 2 4 2 2 2 2 3 3" xfId="32613"/>
    <cellStyle name="Percent 3 2 4 2 2 2 2 4" xfId="32614"/>
    <cellStyle name="Percent 3 2 4 2 2 2 2 4 2" xfId="32615"/>
    <cellStyle name="Percent 3 2 4 2 2 2 2 4 3" xfId="32616"/>
    <cellStyle name="Percent 3 2 4 2 2 2 2 5" xfId="32617"/>
    <cellStyle name="Percent 3 2 4 2 2 2 2 5 2" xfId="32618"/>
    <cellStyle name="Percent 3 2 4 2 2 2 2 6" xfId="32619"/>
    <cellStyle name="Percent 3 2 4 2 2 2 2 6 2" xfId="37419"/>
    <cellStyle name="Percent 3 2 4 2 2 2 2 7" xfId="32620"/>
    <cellStyle name="Percent 3 2 4 2 2 2 3" xfId="32621"/>
    <cellStyle name="Percent 3 2 4 2 2 2 3 2" xfId="32622"/>
    <cellStyle name="Percent 3 2 4 2 2 2 3 2 2" xfId="32623"/>
    <cellStyle name="Percent 3 2 4 2 2 2 3 2 2 2" xfId="32624"/>
    <cellStyle name="Percent 3 2 4 2 2 2 3 2 3" xfId="32625"/>
    <cellStyle name="Percent 3 2 4 2 2 2 3 3" xfId="32626"/>
    <cellStyle name="Percent 3 2 4 2 2 2 3 3 2" xfId="32627"/>
    <cellStyle name="Percent 3 2 4 2 2 2 3 4" xfId="32628"/>
    <cellStyle name="Percent 3 2 4 2 2 2 4" xfId="32629"/>
    <cellStyle name="Percent 3 2 4 2 2 2 4 2" xfId="32630"/>
    <cellStyle name="Percent 3 2 4 2 2 2 4 2 2" xfId="32631"/>
    <cellStyle name="Percent 3 2 4 2 2 2 4 3" xfId="32632"/>
    <cellStyle name="Percent 3 2 4 2 2 2 5" xfId="32633"/>
    <cellStyle name="Percent 3 2 4 2 2 2 5 2" xfId="32634"/>
    <cellStyle name="Percent 3 2 4 2 2 2 5 2 2" xfId="32635"/>
    <cellStyle name="Percent 3 2 4 2 2 2 5 3" xfId="32636"/>
    <cellStyle name="Percent 3 2 4 2 2 2 6" xfId="32637"/>
    <cellStyle name="Percent 3 2 4 2 2 2 6 2" xfId="32638"/>
    <cellStyle name="Percent 3 2 4 2 2 2 7" xfId="32639"/>
    <cellStyle name="Percent 3 2 4 2 2 2 7 2" xfId="37420"/>
    <cellStyle name="Percent 3 2 4 2 2 2 8" xfId="32640"/>
    <cellStyle name="Percent 3 2 4 2 2 3" xfId="32641"/>
    <cellStyle name="Percent 3 2 4 2 2 3 2" xfId="32642"/>
    <cellStyle name="Percent 3 2 4 2 2 3 2 2" xfId="32643"/>
    <cellStyle name="Percent 3 2 4 2 2 3 2 2 2" xfId="32644"/>
    <cellStyle name="Percent 3 2 4 2 2 3 2 2 3" xfId="32645"/>
    <cellStyle name="Percent 3 2 4 2 2 3 2 3" xfId="32646"/>
    <cellStyle name="Percent 3 2 4 2 2 3 2 3 2" xfId="32647"/>
    <cellStyle name="Percent 3 2 4 2 2 3 2 4" xfId="32648"/>
    <cellStyle name="Percent 3 2 4 2 2 3 3" xfId="32649"/>
    <cellStyle name="Percent 3 2 4 2 2 3 3 2" xfId="32650"/>
    <cellStyle name="Percent 3 2 4 2 2 3 3 2 2" xfId="32651"/>
    <cellStyle name="Percent 3 2 4 2 2 3 3 3" xfId="32652"/>
    <cellStyle name="Percent 3 2 4 2 2 3 4" xfId="32653"/>
    <cellStyle name="Percent 3 2 4 2 2 3 4 2" xfId="32654"/>
    <cellStyle name="Percent 3 2 4 2 2 3 4 3" xfId="32655"/>
    <cellStyle name="Percent 3 2 4 2 2 3 5" xfId="32656"/>
    <cellStyle name="Percent 3 2 4 2 2 3 5 2" xfId="32657"/>
    <cellStyle name="Percent 3 2 4 2 2 3 6" xfId="32658"/>
    <cellStyle name="Percent 3 2 4 2 2 3 6 2" xfId="37421"/>
    <cellStyle name="Percent 3 2 4 2 2 3 7" xfId="32659"/>
    <cellStyle name="Percent 3 2 4 2 2 4" xfId="32660"/>
    <cellStyle name="Percent 3 2 4 2 2 4 2" xfId="32661"/>
    <cellStyle name="Percent 3 2 4 2 2 4 2 2" xfId="32662"/>
    <cellStyle name="Percent 3 2 4 2 2 4 2 2 2" xfId="32663"/>
    <cellStyle name="Percent 3 2 4 2 2 4 2 3" xfId="32664"/>
    <cellStyle name="Percent 3 2 4 2 2 4 3" xfId="32665"/>
    <cellStyle name="Percent 3 2 4 2 2 4 3 2" xfId="32666"/>
    <cellStyle name="Percent 3 2 4 2 2 4 4" xfId="32667"/>
    <cellStyle name="Percent 3 2 4 2 2 5" xfId="32668"/>
    <cellStyle name="Percent 3 2 4 2 2 5 2" xfId="32669"/>
    <cellStyle name="Percent 3 2 4 2 2 5 2 2" xfId="32670"/>
    <cellStyle name="Percent 3 2 4 2 2 5 3" xfId="32671"/>
    <cellStyle name="Percent 3 2 4 2 2 6" xfId="32672"/>
    <cellStyle name="Percent 3 2 4 2 2 6 2" xfId="32673"/>
    <cellStyle name="Percent 3 2 4 2 2 6 2 2" xfId="32674"/>
    <cellStyle name="Percent 3 2 4 2 2 6 3" xfId="32675"/>
    <cellStyle name="Percent 3 2 4 2 2 7" xfId="32676"/>
    <cellStyle name="Percent 3 2 4 2 2 7 2" xfId="32677"/>
    <cellStyle name="Percent 3 2 4 2 2 8" xfId="32678"/>
    <cellStyle name="Percent 3 2 4 2 2 8 2" xfId="37422"/>
    <cellStyle name="Percent 3 2 4 2 2 9" xfId="32679"/>
    <cellStyle name="Percent 3 2 4 2 3" xfId="32680"/>
    <cellStyle name="Percent 3 2 4 2 3 2" xfId="32681"/>
    <cellStyle name="Percent 3 2 4 2 3 2 2" xfId="32682"/>
    <cellStyle name="Percent 3 2 4 2 3 2 2 2" xfId="32683"/>
    <cellStyle name="Percent 3 2 4 2 3 2 2 2 2" xfId="32684"/>
    <cellStyle name="Percent 3 2 4 2 3 2 2 2 3" xfId="32685"/>
    <cellStyle name="Percent 3 2 4 2 3 2 2 3" xfId="32686"/>
    <cellStyle name="Percent 3 2 4 2 3 2 2 3 2" xfId="32687"/>
    <cellStyle name="Percent 3 2 4 2 3 2 2 4" xfId="32688"/>
    <cellStyle name="Percent 3 2 4 2 3 2 3" xfId="32689"/>
    <cellStyle name="Percent 3 2 4 2 3 2 3 2" xfId="32690"/>
    <cellStyle name="Percent 3 2 4 2 3 2 3 2 2" xfId="32691"/>
    <cellStyle name="Percent 3 2 4 2 3 2 3 3" xfId="32692"/>
    <cellStyle name="Percent 3 2 4 2 3 2 4" xfId="32693"/>
    <cellStyle name="Percent 3 2 4 2 3 2 4 2" xfId="32694"/>
    <cellStyle name="Percent 3 2 4 2 3 2 4 3" xfId="32695"/>
    <cellStyle name="Percent 3 2 4 2 3 2 5" xfId="32696"/>
    <cellStyle name="Percent 3 2 4 2 3 2 5 2" xfId="32697"/>
    <cellStyle name="Percent 3 2 4 2 3 2 6" xfId="32698"/>
    <cellStyle name="Percent 3 2 4 2 3 2 6 2" xfId="37423"/>
    <cellStyle name="Percent 3 2 4 2 3 2 7" xfId="32699"/>
    <cellStyle name="Percent 3 2 4 2 3 3" xfId="32700"/>
    <cellStyle name="Percent 3 2 4 2 3 3 2" xfId="32701"/>
    <cellStyle name="Percent 3 2 4 2 3 3 2 2" xfId="32702"/>
    <cellStyle name="Percent 3 2 4 2 3 3 2 2 2" xfId="32703"/>
    <cellStyle name="Percent 3 2 4 2 3 3 2 3" xfId="32704"/>
    <cellStyle name="Percent 3 2 4 2 3 3 3" xfId="32705"/>
    <cellStyle name="Percent 3 2 4 2 3 3 3 2" xfId="32706"/>
    <cellStyle name="Percent 3 2 4 2 3 3 4" xfId="32707"/>
    <cellStyle name="Percent 3 2 4 2 3 4" xfId="32708"/>
    <cellStyle name="Percent 3 2 4 2 3 4 2" xfId="32709"/>
    <cellStyle name="Percent 3 2 4 2 3 4 2 2" xfId="32710"/>
    <cellStyle name="Percent 3 2 4 2 3 4 3" xfId="32711"/>
    <cellStyle name="Percent 3 2 4 2 3 5" xfId="32712"/>
    <cellStyle name="Percent 3 2 4 2 3 5 2" xfId="32713"/>
    <cellStyle name="Percent 3 2 4 2 3 5 2 2" xfId="32714"/>
    <cellStyle name="Percent 3 2 4 2 3 5 3" xfId="32715"/>
    <cellStyle name="Percent 3 2 4 2 3 6" xfId="32716"/>
    <cellStyle name="Percent 3 2 4 2 3 6 2" xfId="32717"/>
    <cellStyle name="Percent 3 2 4 2 3 7" xfId="32718"/>
    <cellStyle name="Percent 3 2 4 2 3 7 2" xfId="37424"/>
    <cellStyle name="Percent 3 2 4 2 3 8" xfId="32719"/>
    <cellStyle name="Percent 3 2 4 2 4" xfId="32720"/>
    <cellStyle name="Percent 3 2 4 2 4 2" xfId="32721"/>
    <cellStyle name="Percent 3 2 4 2 4 2 2" xfId="32722"/>
    <cellStyle name="Percent 3 2 4 2 4 2 2 2" xfId="32723"/>
    <cellStyle name="Percent 3 2 4 2 4 2 2 3" xfId="32724"/>
    <cellStyle name="Percent 3 2 4 2 4 2 3" xfId="32725"/>
    <cellStyle name="Percent 3 2 4 2 4 2 3 2" xfId="32726"/>
    <cellStyle name="Percent 3 2 4 2 4 2 4" xfId="32727"/>
    <cellStyle name="Percent 3 2 4 2 4 3" xfId="32728"/>
    <cellStyle name="Percent 3 2 4 2 4 3 2" xfId="32729"/>
    <cellStyle name="Percent 3 2 4 2 4 3 2 2" xfId="32730"/>
    <cellStyle name="Percent 3 2 4 2 4 3 3" xfId="32731"/>
    <cellStyle name="Percent 3 2 4 2 4 4" xfId="32732"/>
    <cellStyle name="Percent 3 2 4 2 4 4 2" xfId="32733"/>
    <cellStyle name="Percent 3 2 4 2 4 4 3" xfId="32734"/>
    <cellStyle name="Percent 3 2 4 2 4 5" xfId="32735"/>
    <cellStyle name="Percent 3 2 4 2 4 5 2" xfId="32736"/>
    <cellStyle name="Percent 3 2 4 2 4 6" xfId="32737"/>
    <cellStyle name="Percent 3 2 4 2 4 6 2" xfId="37425"/>
    <cellStyle name="Percent 3 2 4 2 4 7" xfId="32738"/>
    <cellStyle name="Percent 3 2 4 2 5" xfId="32739"/>
    <cellStyle name="Percent 3 2 4 2 5 2" xfId="32740"/>
    <cellStyle name="Percent 3 2 4 2 5 2 2" xfId="32741"/>
    <cellStyle name="Percent 3 2 4 2 5 2 2 2" xfId="32742"/>
    <cellStyle name="Percent 3 2 4 2 5 2 3" xfId="32743"/>
    <cellStyle name="Percent 3 2 4 2 5 3" xfId="32744"/>
    <cellStyle name="Percent 3 2 4 2 5 3 2" xfId="32745"/>
    <cellStyle name="Percent 3 2 4 2 5 4" xfId="32746"/>
    <cellStyle name="Percent 3 2 4 2 6" xfId="32747"/>
    <cellStyle name="Percent 3 2 4 2 6 2" xfId="32748"/>
    <cellStyle name="Percent 3 2 4 2 6 2 2" xfId="32749"/>
    <cellStyle name="Percent 3 2 4 2 6 3" xfId="32750"/>
    <cellStyle name="Percent 3 2 4 2 7" xfId="32751"/>
    <cellStyle name="Percent 3 2 4 2 7 2" xfId="32752"/>
    <cellStyle name="Percent 3 2 4 2 7 2 2" xfId="32753"/>
    <cellStyle name="Percent 3 2 4 2 7 3" xfId="32754"/>
    <cellStyle name="Percent 3 2 4 2 8" xfId="32755"/>
    <cellStyle name="Percent 3 2 4 2 8 2" xfId="32756"/>
    <cellStyle name="Percent 3 2 4 2 9" xfId="32757"/>
    <cellStyle name="Percent 3 2 4 2 9 2" xfId="37426"/>
    <cellStyle name="Percent 3 2 4 3" xfId="32758"/>
    <cellStyle name="Percent 3 2 4 3 2" xfId="32759"/>
    <cellStyle name="Percent 3 2 4 3 2 2" xfId="32760"/>
    <cellStyle name="Percent 3 2 4 3 2 2 2" xfId="32761"/>
    <cellStyle name="Percent 3 2 4 3 2 2 2 2" xfId="32762"/>
    <cellStyle name="Percent 3 2 4 3 2 2 2 2 2" xfId="32763"/>
    <cellStyle name="Percent 3 2 4 3 2 2 2 2 3" xfId="32764"/>
    <cellStyle name="Percent 3 2 4 3 2 2 2 3" xfId="32765"/>
    <cellStyle name="Percent 3 2 4 3 2 2 2 3 2" xfId="32766"/>
    <cellStyle name="Percent 3 2 4 3 2 2 2 4" xfId="32767"/>
    <cellStyle name="Percent 3 2 4 3 2 2 3" xfId="32768"/>
    <cellStyle name="Percent 3 2 4 3 2 2 3 2" xfId="32769"/>
    <cellStyle name="Percent 3 2 4 3 2 2 3 2 2" xfId="32770"/>
    <cellStyle name="Percent 3 2 4 3 2 2 3 3" xfId="32771"/>
    <cellStyle name="Percent 3 2 4 3 2 2 4" xfId="32772"/>
    <cellStyle name="Percent 3 2 4 3 2 2 4 2" xfId="32773"/>
    <cellStyle name="Percent 3 2 4 3 2 2 4 3" xfId="32774"/>
    <cellStyle name="Percent 3 2 4 3 2 2 5" xfId="32775"/>
    <cellStyle name="Percent 3 2 4 3 2 2 5 2" xfId="32776"/>
    <cellStyle name="Percent 3 2 4 3 2 2 6" xfId="32777"/>
    <cellStyle name="Percent 3 2 4 3 2 2 6 2" xfId="37427"/>
    <cellStyle name="Percent 3 2 4 3 2 2 7" xfId="32778"/>
    <cellStyle name="Percent 3 2 4 3 2 3" xfId="32779"/>
    <cellStyle name="Percent 3 2 4 3 2 3 2" xfId="32780"/>
    <cellStyle name="Percent 3 2 4 3 2 3 2 2" xfId="32781"/>
    <cellStyle name="Percent 3 2 4 3 2 3 2 2 2" xfId="32782"/>
    <cellStyle name="Percent 3 2 4 3 2 3 2 3" xfId="32783"/>
    <cellStyle name="Percent 3 2 4 3 2 3 3" xfId="32784"/>
    <cellStyle name="Percent 3 2 4 3 2 3 3 2" xfId="32785"/>
    <cellStyle name="Percent 3 2 4 3 2 3 4" xfId="32786"/>
    <cellStyle name="Percent 3 2 4 3 2 4" xfId="32787"/>
    <cellStyle name="Percent 3 2 4 3 2 4 2" xfId="32788"/>
    <cellStyle name="Percent 3 2 4 3 2 4 2 2" xfId="32789"/>
    <cellStyle name="Percent 3 2 4 3 2 4 3" xfId="32790"/>
    <cellStyle name="Percent 3 2 4 3 2 5" xfId="32791"/>
    <cellStyle name="Percent 3 2 4 3 2 5 2" xfId="32792"/>
    <cellStyle name="Percent 3 2 4 3 2 5 2 2" xfId="32793"/>
    <cellStyle name="Percent 3 2 4 3 2 5 3" xfId="32794"/>
    <cellStyle name="Percent 3 2 4 3 2 6" xfId="32795"/>
    <cellStyle name="Percent 3 2 4 3 2 6 2" xfId="32796"/>
    <cellStyle name="Percent 3 2 4 3 2 7" xfId="32797"/>
    <cellStyle name="Percent 3 2 4 3 2 7 2" xfId="37428"/>
    <cellStyle name="Percent 3 2 4 3 2 8" xfId="32798"/>
    <cellStyle name="Percent 3 2 4 3 3" xfId="32799"/>
    <cellStyle name="Percent 3 2 4 3 3 2" xfId="32800"/>
    <cellStyle name="Percent 3 2 4 3 3 2 2" xfId="32801"/>
    <cellStyle name="Percent 3 2 4 3 3 2 2 2" xfId="32802"/>
    <cellStyle name="Percent 3 2 4 3 3 2 2 3" xfId="32803"/>
    <cellStyle name="Percent 3 2 4 3 3 2 3" xfId="32804"/>
    <cellStyle name="Percent 3 2 4 3 3 2 3 2" xfId="32805"/>
    <cellStyle name="Percent 3 2 4 3 3 2 4" xfId="32806"/>
    <cellStyle name="Percent 3 2 4 3 3 3" xfId="32807"/>
    <cellStyle name="Percent 3 2 4 3 3 3 2" xfId="32808"/>
    <cellStyle name="Percent 3 2 4 3 3 3 2 2" xfId="32809"/>
    <cellStyle name="Percent 3 2 4 3 3 3 3" xfId="32810"/>
    <cellStyle name="Percent 3 2 4 3 3 4" xfId="32811"/>
    <cellStyle name="Percent 3 2 4 3 3 4 2" xfId="32812"/>
    <cellStyle name="Percent 3 2 4 3 3 4 3" xfId="32813"/>
    <cellStyle name="Percent 3 2 4 3 3 5" xfId="32814"/>
    <cellStyle name="Percent 3 2 4 3 3 5 2" xfId="32815"/>
    <cellStyle name="Percent 3 2 4 3 3 6" xfId="32816"/>
    <cellStyle name="Percent 3 2 4 3 3 6 2" xfId="37429"/>
    <cellStyle name="Percent 3 2 4 3 3 7" xfId="32817"/>
    <cellStyle name="Percent 3 2 4 3 4" xfId="32818"/>
    <cellStyle name="Percent 3 2 4 3 4 2" xfId="32819"/>
    <cellStyle name="Percent 3 2 4 3 4 2 2" xfId="32820"/>
    <cellStyle name="Percent 3 2 4 3 4 2 2 2" xfId="32821"/>
    <cellStyle name="Percent 3 2 4 3 4 2 3" xfId="32822"/>
    <cellStyle name="Percent 3 2 4 3 4 3" xfId="32823"/>
    <cellStyle name="Percent 3 2 4 3 4 3 2" xfId="32824"/>
    <cellStyle name="Percent 3 2 4 3 4 4" xfId="32825"/>
    <cellStyle name="Percent 3 2 4 3 5" xfId="32826"/>
    <cellStyle name="Percent 3 2 4 3 5 2" xfId="32827"/>
    <cellStyle name="Percent 3 2 4 3 5 2 2" xfId="32828"/>
    <cellStyle name="Percent 3 2 4 3 5 3" xfId="32829"/>
    <cellStyle name="Percent 3 2 4 3 6" xfId="32830"/>
    <cellStyle name="Percent 3 2 4 3 6 2" xfId="32831"/>
    <cellStyle name="Percent 3 2 4 3 6 2 2" xfId="32832"/>
    <cellStyle name="Percent 3 2 4 3 6 3" xfId="32833"/>
    <cellStyle name="Percent 3 2 4 3 7" xfId="32834"/>
    <cellStyle name="Percent 3 2 4 3 7 2" xfId="32835"/>
    <cellStyle name="Percent 3 2 4 3 8" xfId="32836"/>
    <cellStyle name="Percent 3 2 4 3 8 2" xfId="37430"/>
    <cellStyle name="Percent 3 2 4 3 9" xfId="32837"/>
    <cellStyle name="Percent 3 2 4 4" xfId="32838"/>
    <cellStyle name="Percent 3 2 4 4 2" xfId="32839"/>
    <cellStyle name="Percent 3 2 4 4 2 2" xfId="32840"/>
    <cellStyle name="Percent 3 2 4 4 2 2 2" xfId="32841"/>
    <cellStyle name="Percent 3 2 4 4 2 2 2 2" xfId="32842"/>
    <cellStyle name="Percent 3 2 4 4 2 2 2 3" xfId="32843"/>
    <cellStyle name="Percent 3 2 4 4 2 2 3" xfId="32844"/>
    <cellStyle name="Percent 3 2 4 4 2 2 3 2" xfId="32845"/>
    <cellStyle name="Percent 3 2 4 4 2 2 4" xfId="32846"/>
    <cellStyle name="Percent 3 2 4 4 2 3" xfId="32847"/>
    <cellStyle name="Percent 3 2 4 4 2 3 2" xfId="32848"/>
    <cellStyle name="Percent 3 2 4 4 2 3 2 2" xfId="32849"/>
    <cellStyle name="Percent 3 2 4 4 2 3 3" xfId="32850"/>
    <cellStyle name="Percent 3 2 4 4 2 4" xfId="32851"/>
    <cellStyle name="Percent 3 2 4 4 2 4 2" xfId="32852"/>
    <cellStyle name="Percent 3 2 4 4 2 4 3" xfId="32853"/>
    <cellStyle name="Percent 3 2 4 4 2 5" xfId="32854"/>
    <cellStyle name="Percent 3 2 4 4 2 5 2" xfId="32855"/>
    <cellStyle name="Percent 3 2 4 4 2 6" xfId="32856"/>
    <cellStyle name="Percent 3 2 4 4 2 6 2" xfId="37431"/>
    <cellStyle name="Percent 3 2 4 4 2 7" xfId="32857"/>
    <cellStyle name="Percent 3 2 4 4 3" xfId="32858"/>
    <cellStyle name="Percent 3 2 4 4 3 2" xfId="32859"/>
    <cellStyle name="Percent 3 2 4 4 3 2 2" xfId="32860"/>
    <cellStyle name="Percent 3 2 4 4 3 2 2 2" xfId="32861"/>
    <cellStyle name="Percent 3 2 4 4 3 2 3" xfId="32862"/>
    <cellStyle name="Percent 3 2 4 4 3 3" xfId="32863"/>
    <cellStyle name="Percent 3 2 4 4 3 3 2" xfId="32864"/>
    <cellStyle name="Percent 3 2 4 4 3 4" xfId="32865"/>
    <cellStyle name="Percent 3 2 4 4 4" xfId="32866"/>
    <cellStyle name="Percent 3 2 4 4 4 2" xfId="32867"/>
    <cellStyle name="Percent 3 2 4 4 4 2 2" xfId="32868"/>
    <cellStyle name="Percent 3 2 4 4 4 3" xfId="32869"/>
    <cellStyle name="Percent 3 2 4 4 5" xfId="32870"/>
    <cellStyle name="Percent 3 2 4 4 5 2" xfId="32871"/>
    <cellStyle name="Percent 3 2 4 4 5 2 2" xfId="32872"/>
    <cellStyle name="Percent 3 2 4 4 5 3" xfId="32873"/>
    <cellStyle name="Percent 3 2 4 4 6" xfId="32874"/>
    <cellStyle name="Percent 3 2 4 4 6 2" xfId="32875"/>
    <cellStyle name="Percent 3 2 4 4 7" xfId="32876"/>
    <cellStyle name="Percent 3 2 4 4 7 2" xfId="37432"/>
    <cellStyle name="Percent 3 2 4 4 8" xfId="32877"/>
    <cellStyle name="Percent 3 2 4 5" xfId="32878"/>
    <cellStyle name="Percent 3 2 4 5 2" xfId="32879"/>
    <cellStyle name="Percent 3 2 4 5 2 2" xfId="32880"/>
    <cellStyle name="Percent 3 2 4 5 2 2 2" xfId="32881"/>
    <cellStyle name="Percent 3 2 4 5 2 2 2 2" xfId="32882"/>
    <cellStyle name="Percent 3 2 4 5 2 2 2 3" xfId="32883"/>
    <cellStyle name="Percent 3 2 4 5 2 2 3" xfId="32884"/>
    <cellStyle name="Percent 3 2 4 5 2 2 3 2" xfId="32885"/>
    <cellStyle name="Percent 3 2 4 5 2 2 4" xfId="32886"/>
    <cellStyle name="Percent 3 2 4 5 2 3" xfId="32887"/>
    <cellStyle name="Percent 3 2 4 5 2 3 2" xfId="32888"/>
    <cellStyle name="Percent 3 2 4 5 2 3 2 2" xfId="32889"/>
    <cellStyle name="Percent 3 2 4 5 2 3 3" xfId="32890"/>
    <cellStyle name="Percent 3 2 4 5 2 4" xfId="32891"/>
    <cellStyle name="Percent 3 2 4 5 2 4 2" xfId="32892"/>
    <cellStyle name="Percent 3 2 4 5 2 4 3" xfId="32893"/>
    <cellStyle name="Percent 3 2 4 5 2 5" xfId="32894"/>
    <cellStyle name="Percent 3 2 4 5 2 5 2" xfId="32895"/>
    <cellStyle name="Percent 3 2 4 5 2 6" xfId="32896"/>
    <cellStyle name="Percent 3 2 4 5 2 6 2" xfId="37433"/>
    <cellStyle name="Percent 3 2 4 5 2 7" xfId="32897"/>
    <cellStyle name="Percent 3 2 4 5 3" xfId="32898"/>
    <cellStyle name="Percent 3 2 4 5 3 2" xfId="32899"/>
    <cellStyle name="Percent 3 2 4 5 3 2 2" xfId="32900"/>
    <cellStyle name="Percent 3 2 4 5 3 2 2 2" xfId="32901"/>
    <cellStyle name="Percent 3 2 4 5 3 2 3" xfId="32902"/>
    <cellStyle name="Percent 3 2 4 5 3 3" xfId="32903"/>
    <cellStyle name="Percent 3 2 4 5 3 3 2" xfId="32904"/>
    <cellStyle name="Percent 3 2 4 5 3 4" xfId="32905"/>
    <cellStyle name="Percent 3 2 4 5 4" xfId="32906"/>
    <cellStyle name="Percent 3 2 4 5 4 2" xfId="32907"/>
    <cellStyle name="Percent 3 2 4 5 4 2 2" xfId="32908"/>
    <cellStyle name="Percent 3 2 4 5 4 3" xfId="32909"/>
    <cellStyle name="Percent 3 2 4 5 5" xfId="32910"/>
    <cellStyle name="Percent 3 2 4 5 5 2" xfId="32911"/>
    <cellStyle name="Percent 3 2 4 5 5 2 2" xfId="32912"/>
    <cellStyle name="Percent 3 2 4 5 5 3" xfId="32913"/>
    <cellStyle name="Percent 3 2 4 5 6" xfId="32914"/>
    <cellStyle name="Percent 3 2 4 5 6 2" xfId="32915"/>
    <cellStyle name="Percent 3 2 4 5 7" xfId="32916"/>
    <cellStyle name="Percent 3 2 4 5 7 2" xfId="37434"/>
    <cellStyle name="Percent 3 2 4 5 8" xfId="32917"/>
    <cellStyle name="Percent 3 2 4 6" xfId="32918"/>
    <cellStyle name="Percent 3 2 4 6 2" xfId="32919"/>
    <cellStyle name="Percent 3 2 4 6 2 2" xfId="32920"/>
    <cellStyle name="Percent 3 2 4 6 2 2 2" xfId="32921"/>
    <cellStyle name="Percent 3 2 4 6 2 2 3" xfId="32922"/>
    <cellStyle name="Percent 3 2 4 6 2 3" xfId="32923"/>
    <cellStyle name="Percent 3 2 4 6 2 3 2" xfId="32924"/>
    <cellStyle name="Percent 3 2 4 6 2 4" xfId="32925"/>
    <cellStyle name="Percent 3 2 4 6 3" xfId="32926"/>
    <cellStyle name="Percent 3 2 4 6 3 2" xfId="32927"/>
    <cellStyle name="Percent 3 2 4 6 3 2 2" xfId="32928"/>
    <cellStyle name="Percent 3 2 4 6 3 3" xfId="32929"/>
    <cellStyle name="Percent 3 2 4 6 4" xfId="32930"/>
    <cellStyle name="Percent 3 2 4 6 4 2" xfId="32931"/>
    <cellStyle name="Percent 3 2 4 6 4 3" xfId="32932"/>
    <cellStyle name="Percent 3 2 4 6 5" xfId="32933"/>
    <cellStyle name="Percent 3 2 4 6 5 2" xfId="32934"/>
    <cellStyle name="Percent 3 2 4 6 6" xfId="32935"/>
    <cellStyle name="Percent 3 2 4 6 6 2" xfId="37435"/>
    <cellStyle name="Percent 3 2 4 6 7" xfId="32936"/>
    <cellStyle name="Percent 3 2 4 7" xfId="32937"/>
    <cellStyle name="Percent 3 2 4 7 2" xfId="32938"/>
    <cellStyle name="Percent 3 2 4 7 2 2" xfId="32939"/>
    <cellStyle name="Percent 3 2 4 7 2 2 2" xfId="32940"/>
    <cellStyle name="Percent 3 2 4 7 2 3" xfId="32941"/>
    <cellStyle name="Percent 3 2 4 7 3" xfId="32942"/>
    <cellStyle name="Percent 3 2 4 7 3 2" xfId="32943"/>
    <cellStyle name="Percent 3 2 4 7 4" xfId="32944"/>
    <cellStyle name="Percent 3 2 4 8" xfId="32945"/>
    <cellStyle name="Percent 3 2 4 8 2" xfId="32946"/>
    <cellStyle name="Percent 3 2 4 8 2 2" xfId="32947"/>
    <cellStyle name="Percent 3 2 4 8 3" xfId="32948"/>
    <cellStyle name="Percent 3 2 4 9" xfId="32949"/>
    <cellStyle name="Percent 3 2 4 9 2" xfId="32950"/>
    <cellStyle name="Percent 3 2 4 9 2 2" xfId="32951"/>
    <cellStyle name="Percent 3 2 4 9 3" xfId="32952"/>
    <cellStyle name="Percent 3 2 5" xfId="32953"/>
    <cellStyle name="Percent 3 2 5 10" xfId="32954"/>
    <cellStyle name="Percent 3 2 5 10 2" xfId="32955"/>
    <cellStyle name="Percent 3 2 5 11" xfId="32956"/>
    <cellStyle name="Percent 3 2 5 11 2" xfId="37436"/>
    <cellStyle name="Percent 3 2 5 12" xfId="32957"/>
    <cellStyle name="Percent 3 2 5 2" xfId="32958"/>
    <cellStyle name="Percent 3 2 5 2 10" xfId="32959"/>
    <cellStyle name="Percent 3 2 5 2 2" xfId="32960"/>
    <cellStyle name="Percent 3 2 5 2 2 2" xfId="32961"/>
    <cellStyle name="Percent 3 2 5 2 2 2 2" xfId="32962"/>
    <cellStyle name="Percent 3 2 5 2 2 2 2 2" xfId="32963"/>
    <cellStyle name="Percent 3 2 5 2 2 2 2 2 2" xfId="32964"/>
    <cellStyle name="Percent 3 2 5 2 2 2 2 2 2 2" xfId="32965"/>
    <cellStyle name="Percent 3 2 5 2 2 2 2 2 2 3" xfId="32966"/>
    <cellStyle name="Percent 3 2 5 2 2 2 2 2 3" xfId="32967"/>
    <cellStyle name="Percent 3 2 5 2 2 2 2 2 3 2" xfId="32968"/>
    <cellStyle name="Percent 3 2 5 2 2 2 2 2 4" xfId="32969"/>
    <cellStyle name="Percent 3 2 5 2 2 2 2 3" xfId="32970"/>
    <cellStyle name="Percent 3 2 5 2 2 2 2 3 2" xfId="32971"/>
    <cellStyle name="Percent 3 2 5 2 2 2 2 3 2 2" xfId="32972"/>
    <cellStyle name="Percent 3 2 5 2 2 2 2 3 3" xfId="32973"/>
    <cellStyle name="Percent 3 2 5 2 2 2 2 4" xfId="32974"/>
    <cellStyle name="Percent 3 2 5 2 2 2 2 4 2" xfId="32975"/>
    <cellStyle name="Percent 3 2 5 2 2 2 2 4 3" xfId="32976"/>
    <cellStyle name="Percent 3 2 5 2 2 2 2 5" xfId="32977"/>
    <cellStyle name="Percent 3 2 5 2 2 2 2 5 2" xfId="32978"/>
    <cellStyle name="Percent 3 2 5 2 2 2 2 6" xfId="32979"/>
    <cellStyle name="Percent 3 2 5 2 2 2 2 6 2" xfId="37437"/>
    <cellStyle name="Percent 3 2 5 2 2 2 2 7" xfId="32980"/>
    <cellStyle name="Percent 3 2 5 2 2 2 3" xfId="32981"/>
    <cellStyle name="Percent 3 2 5 2 2 2 3 2" xfId="32982"/>
    <cellStyle name="Percent 3 2 5 2 2 2 3 2 2" xfId="32983"/>
    <cellStyle name="Percent 3 2 5 2 2 2 3 2 2 2" xfId="32984"/>
    <cellStyle name="Percent 3 2 5 2 2 2 3 2 3" xfId="32985"/>
    <cellStyle name="Percent 3 2 5 2 2 2 3 3" xfId="32986"/>
    <cellStyle name="Percent 3 2 5 2 2 2 3 3 2" xfId="32987"/>
    <cellStyle name="Percent 3 2 5 2 2 2 3 4" xfId="32988"/>
    <cellStyle name="Percent 3 2 5 2 2 2 4" xfId="32989"/>
    <cellStyle name="Percent 3 2 5 2 2 2 4 2" xfId="32990"/>
    <cellStyle name="Percent 3 2 5 2 2 2 4 2 2" xfId="32991"/>
    <cellStyle name="Percent 3 2 5 2 2 2 4 3" xfId="32992"/>
    <cellStyle name="Percent 3 2 5 2 2 2 5" xfId="32993"/>
    <cellStyle name="Percent 3 2 5 2 2 2 5 2" xfId="32994"/>
    <cellStyle name="Percent 3 2 5 2 2 2 5 2 2" xfId="32995"/>
    <cellStyle name="Percent 3 2 5 2 2 2 5 3" xfId="32996"/>
    <cellStyle name="Percent 3 2 5 2 2 2 6" xfId="32997"/>
    <cellStyle name="Percent 3 2 5 2 2 2 6 2" xfId="32998"/>
    <cellStyle name="Percent 3 2 5 2 2 2 7" xfId="32999"/>
    <cellStyle name="Percent 3 2 5 2 2 2 7 2" xfId="37438"/>
    <cellStyle name="Percent 3 2 5 2 2 2 8" xfId="33000"/>
    <cellStyle name="Percent 3 2 5 2 2 3" xfId="33001"/>
    <cellStyle name="Percent 3 2 5 2 2 3 2" xfId="33002"/>
    <cellStyle name="Percent 3 2 5 2 2 3 2 2" xfId="33003"/>
    <cellStyle name="Percent 3 2 5 2 2 3 2 2 2" xfId="33004"/>
    <cellStyle name="Percent 3 2 5 2 2 3 2 2 3" xfId="33005"/>
    <cellStyle name="Percent 3 2 5 2 2 3 2 3" xfId="33006"/>
    <cellStyle name="Percent 3 2 5 2 2 3 2 3 2" xfId="33007"/>
    <cellStyle name="Percent 3 2 5 2 2 3 2 4" xfId="33008"/>
    <cellStyle name="Percent 3 2 5 2 2 3 3" xfId="33009"/>
    <cellStyle name="Percent 3 2 5 2 2 3 3 2" xfId="33010"/>
    <cellStyle name="Percent 3 2 5 2 2 3 3 2 2" xfId="33011"/>
    <cellStyle name="Percent 3 2 5 2 2 3 3 3" xfId="33012"/>
    <cellStyle name="Percent 3 2 5 2 2 3 4" xfId="33013"/>
    <cellStyle name="Percent 3 2 5 2 2 3 4 2" xfId="33014"/>
    <cellStyle name="Percent 3 2 5 2 2 3 4 3" xfId="33015"/>
    <cellStyle name="Percent 3 2 5 2 2 3 5" xfId="33016"/>
    <cellStyle name="Percent 3 2 5 2 2 3 5 2" xfId="33017"/>
    <cellStyle name="Percent 3 2 5 2 2 3 6" xfId="33018"/>
    <cellStyle name="Percent 3 2 5 2 2 3 6 2" xfId="37439"/>
    <cellStyle name="Percent 3 2 5 2 2 3 7" xfId="33019"/>
    <cellStyle name="Percent 3 2 5 2 2 4" xfId="33020"/>
    <cellStyle name="Percent 3 2 5 2 2 4 2" xfId="33021"/>
    <cellStyle name="Percent 3 2 5 2 2 4 2 2" xfId="33022"/>
    <cellStyle name="Percent 3 2 5 2 2 4 2 2 2" xfId="33023"/>
    <cellStyle name="Percent 3 2 5 2 2 4 2 3" xfId="33024"/>
    <cellStyle name="Percent 3 2 5 2 2 4 3" xfId="33025"/>
    <cellStyle name="Percent 3 2 5 2 2 4 3 2" xfId="33026"/>
    <cellStyle name="Percent 3 2 5 2 2 4 4" xfId="33027"/>
    <cellStyle name="Percent 3 2 5 2 2 5" xfId="33028"/>
    <cellStyle name="Percent 3 2 5 2 2 5 2" xfId="33029"/>
    <cellStyle name="Percent 3 2 5 2 2 5 2 2" xfId="33030"/>
    <cellStyle name="Percent 3 2 5 2 2 5 3" xfId="33031"/>
    <cellStyle name="Percent 3 2 5 2 2 6" xfId="33032"/>
    <cellStyle name="Percent 3 2 5 2 2 6 2" xfId="33033"/>
    <cellStyle name="Percent 3 2 5 2 2 6 2 2" xfId="33034"/>
    <cellStyle name="Percent 3 2 5 2 2 6 3" xfId="33035"/>
    <cellStyle name="Percent 3 2 5 2 2 7" xfId="33036"/>
    <cellStyle name="Percent 3 2 5 2 2 7 2" xfId="33037"/>
    <cellStyle name="Percent 3 2 5 2 2 8" xfId="33038"/>
    <cellStyle name="Percent 3 2 5 2 2 8 2" xfId="37440"/>
    <cellStyle name="Percent 3 2 5 2 2 9" xfId="33039"/>
    <cellStyle name="Percent 3 2 5 2 3" xfId="33040"/>
    <cellStyle name="Percent 3 2 5 2 3 2" xfId="33041"/>
    <cellStyle name="Percent 3 2 5 2 3 2 2" xfId="33042"/>
    <cellStyle name="Percent 3 2 5 2 3 2 2 2" xfId="33043"/>
    <cellStyle name="Percent 3 2 5 2 3 2 2 2 2" xfId="33044"/>
    <cellStyle name="Percent 3 2 5 2 3 2 2 2 3" xfId="33045"/>
    <cellStyle name="Percent 3 2 5 2 3 2 2 3" xfId="33046"/>
    <cellStyle name="Percent 3 2 5 2 3 2 2 3 2" xfId="33047"/>
    <cellStyle name="Percent 3 2 5 2 3 2 2 4" xfId="33048"/>
    <cellStyle name="Percent 3 2 5 2 3 2 3" xfId="33049"/>
    <cellStyle name="Percent 3 2 5 2 3 2 3 2" xfId="33050"/>
    <cellStyle name="Percent 3 2 5 2 3 2 3 2 2" xfId="33051"/>
    <cellStyle name="Percent 3 2 5 2 3 2 3 3" xfId="33052"/>
    <cellStyle name="Percent 3 2 5 2 3 2 4" xfId="33053"/>
    <cellStyle name="Percent 3 2 5 2 3 2 4 2" xfId="33054"/>
    <cellStyle name="Percent 3 2 5 2 3 2 4 3" xfId="33055"/>
    <cellStyle name="Percent 3 2 5 2 3 2 5" xfId="33056"/>
    <cellStyle name="Percent 3 2 5 2 3 2 5 2" xfId="33057"/>
    <cellStyle name="Percent 3 2 5 2 3 2 6" xfId="33058"/>
    <cellStyle name="Percent 3 2 5 2 3 2 6 2" xfId="37441"/>
    <cellStyle name="Percent 3 2 5 2 3 2 7" xfId="33059"/>
    <cellStyle name="Percent 3 2 5 2 3 3" xfId="33060"/>
    <cellStyle name="Percent 3 2 5 2 3 3 2" xfId="33061"/>
    <cellStyle name="Percent 3 2 5 2 3 3 2 2" xfId="33062"/>
    <cellStyle name="Percent 3 2 5 2 3 3 2 2 2" xfId="33063"/>
    <cellStyle name="Percent 3 2 5 2 3 3 2 3" xfId="33064"/>
    <cellStyle name="Percent 3 2 5 2 3 3 3" xfId="33065"/>
    <cellStyle name="Percent 3 2 5 2 3 3 3 2" xfId="33066"/>
    <cellStyle name="Percent 3 2 5 2 3 3 4" xfId="33067"/>
    <cellStyle name="Percent 3 2 5 2 3 4" xfId="33068"/>
    <cellStyle name="Percent 3 2 5 2 3 4 2" xfId="33069"/>
    <cellStyle name="Percent 3 2 5 2 3 4 2 2" xfId="33070"/>
    <cellStyle name="Percent 3 2 5 2 3 4 3" xfId="33071"/>
    <cellStyle name="Percent 3 2 5 2 3 5" xfId="33072"/>
    <cellStyle name="Percent 3 2 5 2 3 5 2" xfId="33073"/>
    <cellStyle name="Percent 3 2 5 2 3 5 2 2" xfId="33074"/>
    <cellStyle name="Percent 3 2 5 2 3 5 3" xfId="33075"/>
    <cellStyle name="Percent 3 2 5 2 3 6" xfId="33076"/>
    <cellStyle name="Percent 3 2 5 2 3 6 2" xfId="33077"/>
    <cellStyle name="Percent 3 2 5 2 3 7" xfId="33078"/>
    <cellStyle name="Percent 3 2 5 2 3 7 2" xfId="37442"/>
    <cellStyle name="Percent 3 2 5 2 3 8" xfId="33079"/>
    <cellStyle name="Percent 3 2 5 2 4" xfId="33080"/>
    <cellStyle name="Percent 3 2 5 2 4 2" xfId="33081"/>
    <cellStyle name="Percent 3 2 5 2 4 2 2" xfId="33082"/>
    <cellStyle name="Percent 3 2 5 2 4 2 2 2" xfId="33083"/>
    <cellStyle name="Percent 3 2 5 2 4 2 2 3" xfId="33084"/>
    <cellStyle name="Percent 3 2 5 2 4 2 3" xfId="33085"/>
    <cellStyle name="Percent 3 2 5 2 4 2 3 2" xfId="33086"/>
    <cellStyle name="Percent 3 2 5 2 4 2 4" xfId="33087"/>
    <cellStyle name="Percent 3 2 5 2 4 3" xfId="33088"/>
    <cellStyle name="Percent 3 2 5 2 4 3 2" xfId="33089"/>
    <cellStyle name="Percent 3 2 5 2 4 3 2 2" xfId="33090"/>
    <cellStyle name="Percent 3 2 5 2 4 3 3" xfId="33091"/>
    <cellStyle name="Percent 3 2 5 2 4 4" xfId="33092"/>
    <cellStyle name="Percent 3 2 5 2 4 4 2" xfId="33093"/>
    <cellStyle name="Percent 3 2 5 2 4 4 3" xfId="33094"/>
    <cellStyle name="Percent 3 2 5 2 4 5" xfId="33095"/>
    <cellStyle name="Percent 3 2 5 2 4 5 2" xfId="33096"/>
    <cellStyle name="Percent 3 2 5 2 4 6" xfId="33097"/>
    <cellStyle name="Percent 3 2 5 2 4 6 2" xfId="37443"/>
    <cellStyle name="Percent 3 2 5 2 4 7" xfId="33098"/>
    <cellStyle name="Percent 3 2 5 2 5" xfId="33099"/>
    <cellStyle name="Percent 3 2 5 2 5 2" xfId="33100"/>
    <cellStyle name="Percent 3 2 5 2 5 2 2" xfId="33101"/>
    <cellStyle name="Percent 3 2 5 2 5 2 2 2" xfId="33102"/>
    <cellStyle name="Percent 3 2 5 2 5 2 3" xfId="33103"/>
    <cellStyle name="Percent 3 2 5 2 5 3" xfId="33104"/>
    <cellStyle name="Percent 3 2 5 2 5 3 2" xfId="33105"/>
    <cellStyle name="Percent 3 2 5 2 5 4" xfId="33106"/>
    <cellStyle name="Percent 3 2 5 2 6" xfId="33107"/>
    <cellStyle name="Percent 3 2 5 2 6 2" xfId="33108"/>
    <cellStyle name="Percent 3 2 5 2 6 2 2" xfId="33109"/>
    <cellStyle name="Percent 3 2 5 2 6 3" xfId="33110"/>
    <cellStyle name="Percent 3 2 5 2 7" xfId="33111"/>
    <cellStyle name="Percent 3 2 5 2 7 2" xfId="33112"/>
    <cellStyle name="Percent 3 2 5 2 7 2 2" xfId="33113"/>
    <cellStyle name="Percent 3 2 5 2 7 3" xfId="33114"/>
    <cellStyle name="Percent 3 2 5 2 8" xfId="33115"/>
    <cellStyle name="Percent 3 2 5 2 8 2" xfId="33116"/>
    <cellStyle name="Percent 3 2 5 2 9" xfId="33117"/>
    <cellStyle name="Percent 3 2 5 2 9 2" xfId="37444"/>
    <cellStyle name="Percent 3 2 5 3" xfId="33118"/>
    <cellStyle name="Percent 3 2 5 3 2" xfId="33119"/>
    <cellStyle name="Percent 3 2 5 3 2 2" xfId="33120"/>
    <cellStyle name="Percent 3 2 5 3 2 2 2" xfId="33121"/>
    <cellStyle name="Percent 3 2 5 3 2 2 2 2" xfId="33122"/>
    <cellStyle name="Percent 3 2 5 3 2 2 2 2 2" xfId="33123"/>
    <cellStyle name="Percent 3 2 5 3 2 2 2 2 3" xfId="33124"/>
    <cellStyle name="Percent 3 2 5 3 2 2 2 3" xfId="33125"/>
    <cellStyle name="Percent 3 2 5 3 2 2 2 3 2" xfId="33126"/>
    <cellStyle name="Percent 3 2 5 3 2 2 2 4" xfId="33127"/>
    <cellStyle name="Percent 3 2 5 3 2 2 3" xfId="33128"/>
    <cellStyle name="Percent 3 2 5 3 2 2 3 2" xfId="33129"/>
    <cellStyle name="Percent 3 2 5 3 2 2 3 2 2" xfId="33130"/>
    <cellStyle name="Percent 3 2 5 3 2 2 3 3" xfId="33131"/>
    <cellStyle name="Percent 3 2 5 3 2 2 4" xfId="33132"/>
    <cellStyle name="Percent 3 2 5 3 2 2 4 2" xfId="33133"/>
    <cellStyle name="Percent 3 2 5 3 2 2 4 3" xfId="33134"/>
    <cellStyle name="Percent 3 2 5 3 2 2 5" xfId="33135"/>
    <cellStyle name="Percent 3 2 5 3 2 2 5 2" xfId="33136"/>
    <cellStyle name="Percent 3 2 5 3 2 2 6" xfId="33137"/>
    <cellStyle name="Percent 3 2 5 3 2 2 6 2" xfId="37445"/>
    <cellStyle name="Percent 3 2 5 3 2 2 7" xfId="33138"/>
    <cellStyle name="Percent 3 2 5 3 2 3" xfId="33139"/>
    <cellStyle name="Percent 3 2 5 3 2 3 2" xfId="33140"/>
    <cellStyle name="Percent 3 2 5 3 2 3 2 2" xfId="33141"/>
    <cellStyle name="Percent 3 2 5 3 2 3 2 2 2" xfId="33142"/>
    <cellStyle name="Percent 3 2 5 3 2 3 2 3" xfId="33143"/>
    <cellStyle name="Percent 3 2 5 3 2 3 3" xfId="33144"/>
    <cellStyle name="Percent 3 2 5 3 2 3 3 2" xfId="33145"/>
    <cellStyle name="Percent 3 2 5 3 2 3 4" xfId="33146"/>
    <cellStyle name="Percent 3 2 5 3 2 4" xfId="33147"/>
    <cellStyle name="Percent 3 2 5 3 2 4 2" xfId="33148"/>
    <cellStyle name="Percent 3 2 5 3 2 4 2 2" xfId="33149"/>
    <cellStyle name="Percent 3 2 5 3 2 4 3" xfId="33150"/>
    <cellStyle name="Percent 3 2 5 3 2 5" xfId="33151"/>
    <cellStyle name="Percent 3 2 5 3 2 5 2" xfId="33152"/>
    <cellStyle name="Percent 3 2 5 3 2 5 2 2" xfId="33153"/>
    <cellStyle name="Percent 3 2 5 3 2 5 3" xfId="33154"/>
    <cellStyle name="Percent 3 2 5 3 2 6" xfId="33155"/>
    <cellStyle name="Percent 3 2 5 3 2 6 2" xfId="33156"/>
    <cellStyle name="Percent 3 2 5 3 2 7" xfId="33157"/>
    <cellStyle name="Percent 3 2 5 3 2 7 2" xfId="37446"/>
    <cellStyle name="Percent 3 2 5 3 2 8" xfId="33158"/>
    <cellStyle name="Percent 3 2 5 3 3" xfId="33159"/>
    <cellStyle name="Percent 3 2 5 3 3 2" xfId="33160"/>
    <cellStyle name="Percent 3 2 5 3 3 2 2" xfId="33161"/>
    <cellStyle name="Percent 3 2 5 3 3 2 2 2" xfId="33162"/>
    <cellStyle name="Percent 3 2 5 3 3 2 2 3" xfId="33163"/>
    <cellStyle name="Percent 3 2 5 3 3 2 3" xfId="33164"/>
    <cellStyle name="Percent 3 2 5 3 3 2 3 2" xfId="33165"/>
    <cellStyle name="Percent 3 2 5 3 3 2 4" xfId="33166"/>
    <cellStyle name="Percent 3 2 5 3 3 3" xfId="33167"/>
    <cellStyle name="Percent 3 2 5 3 3 3 2" xfId="33168"/>
    <cellStyle name="Percent 3 2 5 3 3 3 2 2" xfId="33169"/>
    <cellStyle name="Percent 3 2 5 3 3 3 3" xfId="33170"/>
    <cellStyle name="Percent 3 2 5 3 3 4" xfId="33171"/>
    <cellStyle name="Percent 3 2 5 3 3 4 2" xfId="33172"/>
    <cellStyle name="Percent 3 2 5 3 3 4 3" xfId="33173"/>
    <cellStyle name="Percent 3 2 5 3 3 5" xfId="33174"/>
    <cellStyle name="Percent 3 2 5 3 3 5 2" xfId="33175"/>
    <cellStyle name="Percent 3 2 5 3 3 6" xfId="33176"/>
    <cellStyle name="Percent 3 2 5 3 3 6 2" xfId="37447"/>
    <cellStyle name="Percent 3 2 5 3 3 7" xfId="33177"/>
    <cellStyle name="Percent 3 2 5 3 4" xfId="33178"/>
    <cellStyle name="Percent 3 2 5 3 4 2" xfId="33179"/>
    <cellStyle name="Percent 3 2 5 3 4 2 2" xfId="33180"/>
    <cellStyle name="Percent 3 2 5 3 4 2 2 2" xfId="33181"/>
    <cellStyle name="Percent 3 2 5 3 4 2 3" xfId="33182"/>
    <cellStyle name="Percent 3 2 5 3 4 3" xfId="33183"/>
    <cellStyle name="Percent 3 2 5 3 4 3 2" xfId="33184"/>
    <cellStyle name="Percent 3 2 5 3 4 4" xfId="33185"/>
    <cellStyle name="Percent 3 2 5 3 5" xfId="33186"/>
    <cellStyle name="Percent 3 2 5 3 5 2" xfId="33187"/>
    <cellStyle name="Percent 3 2 5 3 5 2 2" xfId="33188"/>
    <cellStyle name="Percent 3 2 5 3 5 3" xfId="33189"/>
    <cellStyle name="Percent 3 2 5 3 6" xfId="33190"/>
    <cellStyle name="Percent 3 2 5 3 6 2" xfId="33191"/>
    <cellStyle name="Percent 3 2 5 3 6 2 2" xfId="33192"/>
    <cellStyle name="Percent 3 2 5 3 6 3" xfId="33193"/>
    <cellStyle name="Percent 3 2 5 3 7" xfId="33194"/>
    <cellStyle name="Percent 3 2 5 3 7 2" xfId="33195"/>
    <cellStyle name="Percent 3 2 5 3 8" xfId="33196"/>
    <cellStyle name="Percent 3 2 5 3 8 2" xfId="37448"/>
    <cellStyle name="Percent 3 2 5 3 9" xfId="33197"/>
    <cellStyle name="Percent 3 2 5 4" xfId="33198"/>
    <cellStyle name="Percent 3 2 5 4 2" xfId="33199"/>
    <cellStyle name="Percent 3 2 5 4 2 2" xfId="33200"/>
    <cellStyle name="Percent 3 2 5 4 2 2 2" xfId="33201"/>
    <cellStyle name="Percent 3 2 5 4 2 2 2 2" xfId="33202"/>
    <cellStyle name="Percent 3 2 5 4 2 2 2 3" xfId="33203"/>
    <cellStyle name="Percent 3 2 5 4 2 2 3" xfId="33204"/>
    <cellStyle name="Percent 3 2 5 4 2 2 3 2" xfId="33205"/>
    <cellStyle name="Percent 3 2 5 4 2 2 4" xfId="33206"/>
    <cellStyle name="Percent 3 2 5 4 2 3" xfId="33207"/>
    <cellStyle name="Percent 3 2 5 4 2 3 2" xfId="33208"/>
    <cellStyle name="Percent 3 2 5 4 2 3 2 2" xfId="33209"/>
    <cellStyle name="Percent 3 2 5 4 2 3 3" xfId="33210"/>
    <cellStyle name="Percent 3 2 5 4 2 4" xfId="33211"/>
    <cellStyle name="Percent 3 2 5 4 2 4 2" xfId="33212"/>
    <cellStyle name="Percent 3 2 5 4 2 4 3" xfId="33213"/>
    <cellStyle name="Percent 3 2 5 4 2 5" xfId="33214"/>
    <cellStyle name="Percent 3 2 5 4 2 5 2" xfId="33215"/>
    <cellStyle name="Percent 3 2 5 4 2 6" xfId="33216"/>
    <cellStyle name="Percent 3 2 5 4 2 6 2" xfId="37449"/>
    <cellStyle name="Percent 3 2 5 4 2 7" xfId="33217"/>
    <cellStyle name="Percent 3 2 5 4 3" xfId="33218"/>
    <cellStyle name="Percent 3 2 5 4 3 2" xfId="33219"/>
    <cellStyle name="Percent 3 2 5 4 3 2 2" xfId="33220"/>
    <cellStyle name="Percent 3 2 5 4 3 2 2 2" xfId="33221"/>
    <cellStyle name="Percent 3 2 5 4 3 2 3" xfId="33222"/>
    <cellStyle name="Percent 3 2 5 4 3 3" xfId="33223"/>
    <cellStyle name="Percent 3 2 5 4 3 3 2" xfId="33224"/>
    <cellStyle name="Percent 3 2 5 4 3 4" xfId="33225"/>
    <cellStyle name="Percent 3 2 5 4 4" xfId="33226"/>
    <cellStyle name="Percent 3 2 5 4 4 2" xfId="33227"/>
    <cellStyle name="Percent 3 2 5 4 4 2 2" xfId="33228"/>
    <cellStyle name="Percent 3 2 5 4 4 3" xfId="33229"/>
    <cellStyle name="Percent 3 2 5 4 5" xfId="33230"/>
    <cellStyle name="Percent 3 2 5 4 5 2" xfId="33231"/>
    <cellStyle name="Percent 3 2 5 4 5 2 2" xfId="33232"/>
    <cellStyle name="Percent 3 2 5 4 5 3" xfId="33233"/>
    <cellStyle name="Percent 3 2 5 4 6" xfId="33234"/>
    <cellStyle name="Percent 3 2 5 4 6 2" xfId="33235"/>
    <cellStyle name="Percent 3 2 5 4 7" xfId="33236"/>
    <cellStyle name="Percent 3 2 5 4 7 2" xfId="37450"/>
    <cellStyle name="Percent 3 2 5 4 8" xfId="33237"/>
    <cellStyle name="Percent 3 2 5 5" xfId="33238"/>
    <cellStyle name="Percent 3 2 5 5 2" xfId="33239"/>
    <cellStyle name="Percent 3 2 5 5 2 2" xfId="33240"/>
    <cellStyle name="Percent 3 2 5 5 2 2 2" xfId="33241"/>
    <cellStyle name="Percent 3 2 5 5 2 2 2 2" xfId="33242"/>
    <cellStyle name="Percent 3 2 5 5 2 2 2 3" xfId="33243"/>
    <cellStyle name="Percent 3 2 5 5 2 2 3" xfId="33244"/>
    <cellStyle name="Percent 3 2 5 5 2 2 3 2" xfId="33245"/>
    <cellStyle name="Percent 3 2 5 5 2 2 4" xfId="33246"/>
    <cellStyle name="Percent 3 2 5 5 2 3" xfId="33247"/>
    <cellStyle name="Percent 3 2 5 5 2 3 2" xfId="33248"/>
    <cellStyle name="Percent 3 2 5 5 2 3 2 2" xfId="33249"/>
    <cellStyle name="Percent 3 2 5 5 2 3 3" xfId="33250"/>
    <cellStyle name="Percent 3 2 5 5 2 4" xfId="33251"/>
    <cellStyle name="Percent 3 2 5 5 2 4 2" xfId="33252"/>
    <cellStyle name="Percent 3 2 5 5 2 4 3" xfId="33253"/>
    <cellStyle name="Percent 3 2 5 5 2 5" xfId="33254"/>
    <cellStyle name="Percent 3 2 5 5 2 5 2" xfId="33255"/>
    <cellStyle name="Percent 3 2 5 5 2 6" xfId="33256"/>
    <cellStyle name="Percent 3 2 5 5 2 6 2" xfId="37451"/>
    <cellStyle name="Percent 3 2 5 5 2 7" xfId="33257"/>
    <cellStyle name="Percent 3 2 5 5 3" xfId="33258"/>
    <cellStyle name="Percent 3 2 5 5 3 2" xfId="33259"/>
    <cellStyle name="Percent 3 2 5 5 3 2 2" xfId="33260"/>
    <cellStyle name="Percent 3 2 5 5 3 2 2 2" xfId="33261"/>
    <cellStyle name="Percent 3 2 5 5 3 2 3" xfId="33262"/>
    <cellStyle name="Percent 3 2 5 5 3 3" xfId="33263"/>
    <cellStyle name="Percent 3 2 5 5 3 3 2" xfId="33264"/>
    <cellStyle name="Percent 3 2 5 5 3 4" xfId="33265"/>
    <cellStyle name="Percent 3 2 5 5 4" xfId="33266"/>
    <cellStyle name="Percent 3 2 5 5 4 2" xfId="33267"/>
    <cellStyle name="Percent 3 2 5 5 4 2 2" xfId="33268"/>
    <cellStyle name="Percent 3 2 5 5 4 3" xfId="33269"/>
    <cellStyle name="Percent 3 2 5 5 5" xfId="33270"/>
    <cellStyle name="Percent 3 2 5 5 5 2" xfId="33271"/>
    <cellStyle name="Percent 3 2 5 5 5 2 2" xfId="33272"/>
    <cellStyle name="Percent 3 2 5 5 5 3" xfId="33273"/>
    <cellStyle name="Percent 3 2 5 5 6" xfId="33274"/>
    <cellStyle name="Percent 3 2 5 5 6 2" xfId="33275"/>
    <cellStyle name="Percent 3 2 5 5 7" xfId="33276"/>
    <cellStyle name="Percent 3 2 5 5 7 2" xfId="37452"/>
    <cellStyle name="Percent 3 2 5 5 8" xfId="33277"/>
    <cellStyle name="Percent 3 2 5 6" xfId="33278"/>
    <cellStyle name="Percent 3 2 5 6 2" xfId="33279"/>
    <cellStyle name="Percent 3 2 5 6 2 2" xfId="33280"/>
    <cellStyle name="Percent 3 2 5 6 2 2 2" xfId="33281"/>
    <cellStyle name="Percent 3 2 5 6 2 2 3" xfId="33282"/>
    <cellStyle name="Percent 3 2 5 6 2 3" xfId="33283"/>
    <cellStyle name="Percent 3 2 5 6 2 3 2" xfId="33284"/>
    <cellStyle name="Percent 3 2 5 6 2 4" xfId="33285"/>
    <cellStyle name="Percent 3 2 5 6 3" xfId="33286"/>
    <cellStyle name="Percent 3 2 5 6 3 2" xfId="33287"/>
    <cellStyle name="Percent 3 2 5 6 3 2 2" xfId="33288"/>
    <cellStyle name="Percent 3 2 5 6 3 3" xfId="33289"/>
    <cellStyle name="Percent 3 2 5 6 4" xfId="33290"/>
    <cellStyle name="Percent 3 2 5 6 4 2" xfId="33291"/>
    <cellStyle name="Percent 3 2 5 6 4 3" xfId="33292"/>
    <cellStyle name="Percent 3 2 5 6 5" xfId="33293"/>
    <cellStyle name="Percent 3 2 5 6 5 2" xfId="33294"/>
    <cellStyle name="Percent 3 2 5 6 6" xfId="33295"/>
    <cellStyle name="Percent 3 2 5 6 6 2" xfId="37453"/>
    <cellStyle name="Percent 3 2 5 6 7" xfId="33296"/>
    <cellStyle name="Percent 3 2 5 7" xfId="33297"/>
    <cellStyle name="Percent 3 2 5 7 2" xfId="33298"/>
    <cellStyle name="Percent 3 2 5 7 2 2" xfId="33299"/>
    <cellStyle name="Percent 3 2 5 7 2 2 2" xfId="33300"/>
    <cellStyle name="Percent 3 2 5 7 2 3" xfId="33301"/>
    <cellStyle name="Percent 3 2 5 7 3" xfId="33302"/>
    <cellStyle name="Percent 3 2 5 7 3 2" xfId="33303"/>
    <cellStyle name="Percent 3 2 5 7 4" xfId="33304"/>
    <cellStyle name="Percent 3 2 5 8" xfId="33305"/>
    <cellStyle name="Percent 3 2 5 8 2" xfId="33306"/>
    <cellStyle name="Percent 3 2 5 8 2 2" xfId="33307"/>
    <cellStyle name="Percent 3 2 5 8 3" xfId="33308"/>
    <cellStyle name="Percent 3 2 5 9" xfId="33309"/>
    <cellStyle name="Percent 3 2 5 9 2" xfId="33310"/>
    <cellStyle name="Percent 3 2 5 9 2 2" xfId="33311"/>
    <cellStyle name="Percent 3 2 5 9 3" xfId="33312"/>
    <cellStyle name="Percent 3 2 6" xfId="33313"/>
    <cellStyle name="Percent 3 2 6 10" xfId="33314"/>
    <cellStyle name="Percent 3 2 6 2" xfId="33315"/>
    <cellStyle name="Percent 3 2 6 2 2" xfId="33316"/>
    <cellStyle name="Percent 3 2 6 2 2 2" xfId="33317"/>
    <cellStyle name="Percent 3 2 6 2 2 2 2" xfId="33318"/>
    <cellStyle name="Percent 3 2 6 2 2 2 2 2" xfId="33319"/>
    <cellStyle name="Percent 3 2 6 2 2 2 2 2 2" xfId="33320"/>
    <cellStyle name="Percent 3 2 6 2 2 2 2 2 3" xfId="33321"/>
    <cellStyle name="Percent 3 2 6 2 2 2 2 3" xfId="33322"/>
    <cellStyle name="Percent 3 2 6 2 2 2 2 3 2" xfId="33323"/>
    <cellStyle name="Percent 3 2 6 2 2 2 2 4" xfId="33324"/>
    <cellStyle name="Percent 3 2 6 2 2 2 3" xfId="33325"/>
    <cellStyle name="Percent 3 2 6 2 2 2 3 2" xfId="33326"/>
    <cellStyle name="Percent 3 2 6 2 2 2 3 2 2" xfId="33327"/>
    <cellStyle name="Percent 3 2 6 2 2 2 3 3" xfId="33328"/>
    <cellStyle name="Percent 3 2 6 2 2 2 4" xfId="33329"/>
    <cellStyle name="Percent 3 2 6 2 2 2 4 2" xfId="33330"/>
    <cellStyle name="Percent 3 2 6 2 2 2 4 3" xfId="33331"/>
    <cellStyle name="Percent 3 2 6 2 2 2 5" xfId="33332"/>
    <cellStyle name="Percent 3 2 6 2 2 2 5 2" xfId="33333"/>
    <cellStyle name="Percent 3 2 6 2 2 2 6" xfId="33334"/>
    <cellStyle name="Percent 3 2 6 2 2 2 6 2" xfId="37454"/>
    <cellStyle name="Percent 3 2 6 2 2 2 7" xfId="33335"/>
    <cellStyle name="Percent 3 2 6 2 2 3" xfId="33336"/>
    <cellStyle name="Percent 3 2 6 2 2 3 2" xfId="33337"/>
    <cellStyle name="Percent 3 2 6 2 2 3 2 2" xfId="33338"/>
    <cellStyle name="Percent 3 2 6 2 2 3 2 2 2" xfId="33339"/>
    <cellStyle name="Percent 3 2 6 2 2 3 2 3" xfId="33340"/>
    <cellStyle name="Percent 3 2 6 2 2 3 3" xfId="33341"/>
    <cellStyle name="Percent 3 2 6 2 2 3 3 2" xfId="33342"/>
    <cellStyle name="Percent 3 2 6 2 2 3 4" xfId="33343"/>
    <cellStyle name="Percent 3 2 6 2 2 4" xfId="33344"/>
    <cellStyle name="Percent 3 2 6 2 2 4 2" xfId="33345"/>
    <cellStyle name="Percent 3 2 6 2 2 4 2 2" xfId="33346"/>
    <cellStyle name="Percent 3 2 6 2 2 4 3" xfId="33347"/>
    <cellStyle name="Percent 3 2 6 2 2 5" xfId="33348"/>
    <cellStyle name="Percent 3 2 6 2 2 5 2" xfId="33349"/>
    <cellStyle name="Percent 3 2 6 2 2 5 2 2" xfId="33350"/>
    <cellStyle name="Percent 3 2 6 2 2 5 3" xfId="33351"/>
    <cellStyle name="Percent 3 2 6 2 2 6" xfId="33352"/>
    <cellStyle name="Percent 3 2 6 2 2 6 2" xfId="33353"/>
    <cellStyle name="Percent 3 2 6 2 2 7" xfId="33354"/>
    <cellStyle name="Percent 3 2 6 2 2 7 2" xfId="37455"/>
    <cellStyle name="Percent 3 2 6 2 2 8" xfId="33355"/>
    <cellStyle name="Percent 3 2 6 2 3" xfId="33356"/>
    <cellStyle name="Percent 3 2 6 2 3 2" xfId="33357"/>
    <cellStyle name="Percent 3 2 6 2 3 2 2" xfId="33358"/>
    <cellStyle name="Percent 3 2 6 2 3 2 2 2" xfId="33359"/>
    <cellStyle name="Percent 3 2 6 2 3 2 2 3" xfId="33360"/>
    <cellStyle name="Percent 3 2 6 2 3 2 3" xfId="33361"/>
    <cellStyle name="Percent 3 2 6 2 3 2 3 2" xfId="33362"/>
    <cellStyle name="Percent 3 2 6 2 3 2 4" xfId="33363"/>
    <cellStyle name="Percent 3 2 6 2 3 3" xfId="33364"/>
    <cellStyle name="Percent 3 2 6 2 3 3 2" xfId="33365"/>
    <cellStyle name="Percent 3 2 6 2 3 3 2 2" xfId="33366"/>
    <cellStyle name="Percent 3 2 6 2 3 3 3" xfId="33367"/>
    <cellStyle name="Percent 3 2 6 2 3 4" xfId="33368"/>
    <cellStyle name="Percent 3 2 6 2 3 4 2" xfId="33369"/>
    <cellStyle name="Percent 3 2 6 2 3 4 3" xfId="33370"/>
    <cellStyle name="Percent 3 2 6 2 3 5" xfId="33371"/>
    <cellStyle name="Percent 3 2 6 2 3 5 2" xfId="33372"/>
    <cellStyle name="Percent 3 2 6 2 3 6" xfId="33373"/>
    <cellStyle name="Percent 3 2 6 2 3 6 2" xfId="37456"/>
    <cellStyle name="Percent 3 2 6 2 3 7" xfId="33374"/>
    <cellStyle name="Percent 3 2 6 2 4" xfId="33375"/>
    <cellStyle name="Percent 3 2 6 2 4 2" xfId="33376"/>
    <cellStyle name="Percent 3 2 6 2 4 2 2" xfId="33377"/>
    <cellStyle name="Percent 3 2 6 2 4 2 2 2" xfId="33378"/>
    <cellStyle name="Percent 3 2 6 2 4 2 3" xfId="33379"/>
    <cellStyle name="Percent 3 2 6 2 4 3" xfId="33380"/>
    <cellStyle name="Percent 3 2 6 2 4 3 2" xfId="33381"/>
    <cellStyle name="Percent 3 2 6 2 4 4" xfId="33382"/>
    <cellStyle name="Percent 3 2 6 2 5" xfId="33383"/>
    <cellStyle name="Percent 3 2 6 2 5 2" xfId="33384"/>
    <cellStyle name="Percent 3 2 6 2 5 2 2" xfId="33385"/>
    <cellStyle name="Percent 3 2 6 2 5 3" xfId="33386"/>
    <cellStyle name="Percent 3 2 6 2 6" xfId="33387"/>
    <cellStyle name="Percent 3 2 6 2 6 2" xfId="33388"/>
    <cellStyle name="Percent 3 2 6 2 6 2 2" xfId="33389"/>
    <cellStyle name="Percent 3 2 6 2 6 3" xfId="33390"/>
    <cellStyle name="Percent 3 2 6 2 7" xfId="33391"/>
    <cellStyle name="Percent 3 2 6 2 7 2" xfId="33392"/>
    <cellStyle name="Percent 3 2 6 2 8" xfId="33393"/>
    <cellStyle name="Percent 3 2 6 2 8 2" xfId="37457"/>
    <cellStyle name="Percent 3 2 6 2 9" xfId="33394"/>
    <cellStyle name="Percent 3 2 6 3" xfId="33395"/>
    <cellStyle name="Percent 3 2 6 3 2" xfId="33396"/>
    <cellStyle name="Percent 3 2 6 3 2 2" xfId="33397"/>
    <cellStyle name="Percent 3 2 6 3 2 2 2" xfId="33398"/>
    <cellStyle name="Percent 3 2 6 3 2 2 2 2" xfId="33399"/>
    <cellStyle name="Percent 3 2 6 3 2 2 2 3" xfId="33400"/>
    <cellStyle name="Percent 3 2 6 3 2 2 3" xfId="33401"/>
    <cellStyle name="Percent 3 2 6 3 2 2 3 2" xfId="33402"/>
    <cellStyle name="Percent 3 2 6 3 2 2 4" xfId="33403"/>
    <cellStyle name="Percent 3 2 6 3 2 3" xfId="33404"/>
    <cellStyle name="Percent 3 2 6 3 2 3 2" xfId="33405"/>
    <cellStyle name="Percent 3 2 6 3 2 3 2 2" xfId="33406"/>
    <cellStyle name="Percent 3 2 6 3 2 3 3" xfId="33407"/>
    <cellStyle name="Percent 3 2 6 3 2 4" xfId="33408"/>
    <cellStyle name="Percent 3 2 6 3 2 4 2" xfId="33409"/>
    <cellStyle name="Percent 3 2 6 3 2 4 3" xfId="33410"/>
    <cellStyle name="Percent 3 2 6 3 2 5" xfId="33411"/>
    <cellStyle name="Percent 3 2 6 3 2 5 2" xfId="33412"/>
    <cellStyle name="Percent 3 2 6 3 2 6" xfId="33413"/>
    <cellStyle name="Percent 3 2 6 3 2 6 2" xfId="37458"/>
    <cellStyle name="Percent 3 2 6 3 2 7" xfId="33414"/>
    <cellStyle name="Percent 3 2 6 3 3" xfId="33415"/>
    <cellStyle name="Percent 3 2 6 3 3 2" xfId="33416"/>
    <cellStyle name="Percent 3 2 6 3 3 2 2" xfId="33417"/>
    <cellStyle name="Percent 3 2 6 3 3 2 2 2" xfId="33418"/>
    <cellStyle name="Percent 3 2 6 3 3 2 3" xfId="33419"/>
    <cellStyle name="Percent 3 2 6 3 3 3" xfId="33420"/>
    <cellStyle name="Percent 3 2 6 3 3 3 2" xfId="33421"/>
    <cellStyle name="Percent 3 2 6 3 3 4" xfId="33422"/>
    <cellStyle name="Percent 3 2 6 3 4" xfId="33423"/>
    <cellStyle name="Percent 3 2 6 3 4 2" xfId="33424"/>
    <cellStyle name="Percent 3 2 6 3 4 2 2" xfId="33425"/>
    <cellStyle name="Percent 3 2 6 3 4 3" xfId="33426"/>
    <cellStyle name="Percent 3 2 6 3 5" xfId="33427"/>
    <cellStyle name="Percent 3 2 6 3 5 2" xfId="33428"/>
    <cellStyle name="Percent 3 2 6 3 5 2 2" xfId="33429"/>
    <cellStyle name="Percent 3 2 6 3 5 3" xfId="33430"/>
    <cellStyle name="Percent 3 2 6 3 6" xfId="33431"/>
    <cellStyle name="Percent 3 2 6 3 6 2" xfId="33432"/>
    <cellStyle name="Percent 3 2 6 3 7" xfId="33433"/>
    <cellStyle name="Percent 3 2 6 3 7 2" xfId="37459"/>
    <cellStyle name="Percent 3 2 6 3 8" xfId="33434"/>
    <cellStyle name="Percent 3 2 6 4" xfId="33435"/>
    <cellStyle name="Percent 3 2 6 4 2" xfId="33436"/>
    <cellStyle name="Percent 3 2 6 4 2 2" xfId="33437"/>
    <cellStyle name="Percent 3 2 6 4 2 2 2" xfId="33438"/>
    <cellStyle name="Percent 3 2 6 4 2 2 3" xfId="33439"/>
    <cellStyle name="Percent 3 2 6 4 2 3" xfId="33440"/>
    <cellStyle name="Percent 3 2 6 4 2 3 2" xfId="33441"/>
    <cellStyle name="Percent 3 2 6 4 2 4" xfId="33442"/>
    <cellStyle name="Percent 3 2 6 4 3" xfId="33443"/>
    <cellStyle name="Percent 3 2 6 4 3 2" xfId="33444"/>
    <cellStyle name="Percent 3 2 6 4 3 2 2" xfId="33445"/>
    <cellStyle name="Percent 3 2 6 4 3 3" xfId="33446"/>
    <cellStyle name="Percent 3 2 6 4 4" xfId="33447"/>
    <cellStyle name="Percent 3 2 6 4 4 2" xfId="33448"/>
    <cellStyle name="Percent 3 2 6 4 4 3" xfId="33449"/>
    <cellStyle name="Percent 3 2 6 4 5" xfId="33450"/>
    <cellStyle name="Percent 3 2 6 4 5 2" xfId="33451"/>
    <cellStyle name="Percent 3 2 6 4 6" xfId="33452"/>
    <cellStyle name="Percent 3 2 6 4 6 2" xfId="37460"/>
    <cellStyle name="Percent 3 2 6 4 7" xfId="33453"/>
    <cellStyle name="Percent 3 2 6 5" xfId="33454"/>
    <cellStyle name="Percent 3 2 6 5 2" xfId="33455"/>
    <cellStyle name="Percent 3 2 6 5 2 2" xfId="33456"/>
    <cellStyle name="Percent 3 2 6 5 2 2 2" xfId="33457"/>
    <cellStyle name="Percent 3 2 6 5 2 3" xfId="33458"/>
    <cellStyle name="Percent 3 2 6 5 3" xfId="33459"/>
    <cellStyle name="Percent 3 2 6 5 3 2" xfId="33460"/>
    <cellStyle name="Percent 3 2 6 5 4" xfId="33461"/>
    <cellStyle name="Percent 3 2 6 6" xfId="33462"/>
    <cellStyle name="Percent 3 2 6 6 2" xfId="33463"/>
    <cellStyle name="Percent 3 2 6 6 2 2" xfId="33464"/>
    <cellStyle name="Percent 3 2 6 6 3" xfId="33465"/>
    <cellStyle name="Percent 3 2 6 7" xfId="33466"/>
    <cellStyle name="Percent 3 2 6 7 2" xfId="33467"/>
    <cellStyle name="Percent 3 2 6 7 2 2" xfId="33468"/>
    <cellStyle name="Percent 3 2 6 7 3" xfId="33469"/>
    <cellStyle name="Percent 3 2 6 8" xfId="33470"/>
    <cellStyle name="Percent 3 2 6 8 2" xfId="33471"/>
    <cellStyle name="Percent 3 2 6 9" xfId="33472"/>
    <cellStyle name="Percent 3 2 6 9 2" xfId="37461"/>
    <cellStyle name="Percent 3 2 7" xfId="33473"/>
    <cellStyle name="Percent 3 2 7 2" xfId="33474"/>
    <cellStyle name="Percent 3 2 7 2 2" xfId="33475"/>
    <cellStyle name="Percent 3 2 7 2 2 2" xfId="33476"/>
    <cellStyle name="Percent 3 2 7 2 2 2 2" xfId="33477"/>
    <cellStyle name="Percent 3 2 7 2 2 2 2 2" xfId="33478"/>
    <cellStyle name="Percent 3 2 7 2 2 2 2 3" xfId="33479"/>
    <cellStyle name="Percent 3 2 7 2 2 2 3" xfId="33480"/>
    <cellStyle name="Percent 3 2 7 2 2 2 3 2" xfId="33481"/>
    <cellStyle name="Percent 3 2 7 2 2 2 4" xfId="33482"/>
    <cellStyle name="Percent 3 2 7 2 2 3" xfId="33483"/>
    <cellStyle name="Percent 3 2 7 2 2 3 2" xfId="33484"/>
    <cellStyle name="Percent 3 2 7 2 2 3 2 2" xfId="33485"/>
    <cellStyle name="Percent 3 2 7 2 2 3 3" xfId="33486"/>
    <cellStyle name="Percent 3 2 7 2 2 4" xfId="33487"/>
    <cellStyle name="Percent 3 2 7 2 2 4 2" xfId="33488"/>
    <cellStyle name="Percent 3 2 7 2 2 4 3" xfId="33489"/>
    <cellStyle name="Percent 3 2 7 2 2 5" xfId="33490"/>
    <cellStyle name="Percent 3 2 7 2 2 5 2" xfId="33491"/>
    <cellStyle name="Percent 3 2 7 2 2 6" xfId="33492"/>
    <cellStyle name="Percent 3 2 7 2 2 6 2" xfId="37462"/>
    <cellStyle name="Percent 3 2 7 2 2 7" xfId="33493"/>
    <cellStyle name="Percent 3 2 7 2 3" xfId="33494"/>
    <cellStyle name="Percent 3 2 7 2 3 2" xfId="33495"/>
    <cellStyle name="Percent 3 2 7 2 3 2 2" xfId="33496"/>
    <cellStyle name="Percent 3 2 7 2 3 2 2 2" xfId="33497"/>
    <cellStyle name="Percent 3 2 7 2 3 2 3" xfId="33498"/>
    <cellStyle name="Percent 3 2 7 2 3 3" xfId="33499"/>
    <cellStyle name="Percent 3 2 7 2 3 3 2" xfId="33500"/>
    <cellStyle name="Percent 3 2 7 2 3 4" xfId="33501"/>
    <cellStyle name="Percent 3 2 7 2 4" xfId="33502"/>
    <cellStyle name="Percent 3 2 7 2 4 2" xfId="33503"/>
    <cellStyle name="Percent 3 2 7 2 4 2 2" xfId="33504"/>
    <cellStyle name="Percent 3 2 7 2 4 3" xfId="33505"/>
    <cellStyle name="Percent 3 2 7 2 5" xfId="33506"/>
    <cellStyle name="Percent 3 2 7 2 5 2" xfId="33507"/>
    <cellStyle name="Percent 3 2 7 2 5 2 2" xfId="33508"/>
    <cellStyle name="Percent 3 2 7 2 5 3" xfId="33509"/>
    <cellStyle name="Percent 3 2 7 2 6" xfId="33510"/>
    <cellStyle name="Percent 3 2 7 2 6 2" xfId="33511"/>
    <cellStyle name="Percent 3 2 7 2 7" xfId="33512"/>
    <cellStyle name="Percent 3 2 7 2 7 2" xfId="37463"/>
    <cellStyle name="Percent 3 2 7 2 8" xfId="33513"/>
    <cellStyle name="Percent 3 2 7 3" xfId="33514"/>
    <cellStyle name="Percent 3 2 7 3 2" xfId="33515"/>
    <cellStyle name="Percent 3 2 7 3 2 2" xfId="33516"/>
    <cellStyle name="Percent 3 2 7 3 2 2 2" xfId="33517"/>
    <cellStyle name="Percent 3 2 7 3 2 2 3" xfId="33518"/>
    <cellStyle name="Percent 3 2 7 3 2 3" xfId="33519"/>
    <cellStyle name="Percent 3 2 7 3 2 3 2" xfId="33520"/>
    <cellStyle name="Percent 3 2 7 3 2 4" xfId="33521"/>
    <cellStyle name="Percent 3 2 7 3 3" xfId="33522"/>
    <cellStyle name="Percent 3 2 7 3 3 2" xfId="33523"/>
    <cellStyle name="Percent 3 2 7 3 3 2 2" xfId="33524"/>
    <cellStyle name="Percent 3 2 7 3 3 3" xfId="33525"/>
    <cellStyle name="Percent 3 2 7 3 4" xfId="33526"/>
    <cellStyle name="Percent 3 2 7 3 4 2" xfId="33527"/>
    <cellStyle name="Percent 3 2 7 3 4 3" xfId="33528"/>
    <cellStyle name="Percent 3 2 7 3 5" xfId="33529"/>
    <cellStyle name="Percent 3 2 7 3 5 2" xfId="33530"/>
    <cellStyle name="Percent 3 2 7 3 6" xfId="33531"/>
    <cellStyle name="Percent 3 2 7 3 6 2" xfId="37464"/>
    <cellStyle name="Percent 3 2 7 3 7" xfId="33532"/>
    <cellStyle name="Percent 3 2 7 4" xfId="33533"/>
    <cellStyle name="Percent 3 2 7 4 2" xfId="33534"/>
    <cellStyle name="Percent 3 2 7 4 2 2" xfId="33535"/>
    <cellStyle name="Percent 3 2 7 4 2 2 2" xfId="33536"/>
    <cellStyle name="Percent 3 2 7 4 2 3" xfId="33537"/>
    <cellStyle name="Percent 3 2 7 4 3" xfId="33538"/>
    <cellStyle name="Percent 3 2 7 4 3 2" xfId="33539"/>
    <cellStyle name="Percent 3 2 7 4 4" xfId="33540"/>
    <cellStyle name="Percent 3 2 7 5" xfId="33541"/>
    <cellStyle name="Percent 3 2 7 5 2" xfId="33542"/>
    <cellStyle name="Percent 3 2 7 5 2 2" xfId="33543"/>
    <cellStyle name="Percent 3 2 7 5 3" xfId="33544"/>
    <cellStyle name="Percent 3 2 7 6" xfId="33545"/>
    <cellStyle name="Percent 3 2 7 6 2" xfId="33546"/>
    <cellStyle name="Percent 3 2 7 6 2 2" xfId="33547"/>
    <cellStyle name="Percent 3 2 7 6 3" xfId="33548"/>
    <cellStyle name="Percent 3 2 7 7" xfId="33549"/>
    <cellStyle name="Percent 3 2 7 7 2" xfId="33550"/>
    <cellStyle name="Percent 3 2 7 8" xfId="33551"/>
    <cellStyle name="Percent 3 2 7 8 2" xfId="37465"/>
    <cellStyle name="Percent 3 2 7 9" xfId="33552"/>
    <cellStyle name="Percent 3 2 8" xfId="33553"/>
    <cellStyle name="Percent 3 2 8 2" xfId="33554"/>
    <cellStyle name="Percent 3 2 8 2 2" xfId="33555"/>
    <cellStyle name="Percent 3 2 8 2 2 2" xfId="33556"/>
    <cellStyle name="Percent 3 2 8 2 2 2 2" xfId="33557"/>
    <cellStyle name="Percent 3 2 8 2 2 2 2 2" xfId="33558"/>
    <cellStyle name="Percent 3 2 8 2 2 2 2 3" xfId="33559"/>
    <cellStyle name="Percent 3 2 8 2 2 2 3" xfId="33560"/>
    <cellStyle name="Percent 3 2 8 2 2 2 3 2" xfId="33561"/>
    <cellStyle name="Percent 3 2 8 2 2 2 4" xfId="33562"/>
    <cellStyle name="Percent 3 2 8 2 2 3" xfId="33563"/>
    <cellStyle name="Percent 3 2 8 2 2 3 2" xfId="33564"/>
    <cellStyle name="Percent 3 2 8 2 2 3 2 2" xfId="33565"/>
    <cellStyle name="Percent 3 2 8 2 2 3 3" xfId="33566"/>
    <cellStyle name="Percent 3 2 8 2 2 4" xfId="33567"/>
    <cellStyle name="Percent 3 2 8 2 2 4 2" xfId="33568"/>
    <cellStyle name="Percent 3 2 8 2 2 4 3" xfId="33569"/>
    <cellStyle name="Percent 3 2 8 2 2 5" xfId="33570"/>
    <cellStyle name="Percent 3 2 8 2 2 5 2" xfId="33571"/>
    <cellStyle name="Percent 3 2 8 2 2 6" xfId="33572"/>
    <cellStyle name="Percent 3 2 8 2 2 6 2" xfId="37466"/>
    <cellStyle name="Percent 3 2 8 2 2 7" xfId="33573"/>
    <cellStyle name="Percent 3 2 8 2 3" xfId="33574"/>
    <cellStyle name="Percent 3 2 8 2 3 2" xfId="33575"/>
    <cellStyle name="Percent 3 2 8 2 3 2 2" xfId="33576"/>
    <cellStyle name="Percent 3 2 8 2 3 2 2 2" xfId="33577"/>
    <cellStyle name="Percent 3 2 8 2 3 2 3" xfId="33578"/>
    <cellStyle name="Percent 3 2 8 2 3 3" xfId="33579"/>
    <cellStyle name="Percent 3 2 8 2 3 3 2" xfId="33580"/>
    <cellStyle name="Percent 3 2 8 2 3 4" xfId="33581"/>
    <cellStyle name="Percent 3 2 8 2 4" xfId="33582"/>
    <cellStyle name="Percent 3 2 8 2 4 2" xfId="33583"/>
    <cellStyle name="Percent 3 2 8 2 4 2 2" xfId="33584"/>
    <cellStyle name="Percent 3 2 8 2 4 3" xfId="33585"/>
    <cellStyle name="Percent 3 2 8 2 5" xfId="33586"/>
    <cellStyle name="Percent 3 2 8 2 5 2" xfId="33587"/>
    <cellStyle name="Percent 3 2 8 2 5 2 2" xfId="33588"/>
    <cellStyle name="Percent 3 2 8 2 5 3" xfId="33589"/>
    <cellStyle name="Percent 3 2 8 2 6" xfId="33590"/>
    <cellStyle name="Percent 3 2 8 2 6 2" xfId="33591"/>
    <cellStyle name="Percent 3 2 8 2 7" xfId="33592"/>
    <cellStyle name="Percent 3 2 8 2 7 2" xfId="37467"/>
    <cellStyle name="Percent 3 2 8 2 8" xfId="33593"/>
    <cellStyle name="Percent 3 2 8 3" xfId="33594"/>
    <cellStyle name="Percent 3 2 8 3 2" xfId="33595"/>
    <cellStyle name="Percent 3 2 8 3 2 2" xfId="33596"/>
    <cellStyle name="Percent 3 2 8 3 2 2 2" xfId="33597"/>
    <cellStyle name="Percent 3 2 8 3 2 2 3" xfId="33598"/>
    <cellStyle name="Percent 3 2 8 3 2 3" xfId="33599"/>
    <cellStyle name="Percent 3 2 8 3 2 3 2" xfId="33600"/>
    <cellStyle name="Percent 3 2 8 3 2 4" xfId="33601"/>
    <cellStyle name="Percent 3 2 8 3 3" xfId="33602"/>
    <cellStyle name="Percent 3 2 8 3 3 2" xfId="33603"/>
    <cellStyle name="Percent 3 2 8 3 3 2 2" xfId="33604"/>
    <cellStyle name="Percent 3 2 8 3 3 3" xfId="33605"/>
    <cellStyle name="Percent 3 2 8 3 4" xfId="33606"/>
    <cellStyle name="Percent 3 2 8 3 4 2" xfId="33607"/>
    <cellStyle name="Percent 3 2 8 3 4 3" xfId="33608"/>
    <cellStyle name="Percent 3 2 8 3 5" xfId="33609"/>
    <cellStyle name="Percent 3 2 8 3 5 2" xfId="33610"/>
    <cellStyle name="Percent 3 2 8 3 6" xfId="33611"/>
    <cellStyle name="Percent 3 2 8 3 6 2" xfId="37468"/>
    <cellStyle name="Percent 3 2 8 3 7" xfId="33612"/>
    <cellStyle name="Percent 3 2 8 4" xfId="33613"/>
    <cellStyle name="Percent 3 2 8 4 2" xfId="33614"/>
    <cellStyle name="Percent 3 2 8 4 2 2" xfId="33615"/>
    <cellStyle name="Percent 3 2 8 4 2 2 2" xfId="33616"/>
    <cellStyle name="Percent 3 2 8 4 2 3" xfId="33617"/>
    <cellStyle name="Percent 3 2 8 4 3" xfId="33618"/>
    <cellStyle name="Percent 3 2 8 4 3 2" xfId="33619"/>
    <cellStyle name="Percent 3 2 8 4 4" xfId="33620"/>
    <cellStyle name="Percent 3 2 8 5" xfId="33621"/>
    <cellStyle name="Percent 3 2 8 5 2" xfId="33622"/>
    <cellStyle name="Percent 3 2 8 5 2 2" xfId="33623"/>
    <cellStyle name="Percent 3 2 8 5 3" xfId="33624"/>
    <cellStyle name="Percent 3 2 8 6" xfId="33625"/>
    <cellStyle name="Percent 3 2 8 6 2" xfId="33626"/>
    <cellStyle name="Percent 3 2 8 6 2 2" xfId="33627"/>
    <cellStyle name="Percent 3 2 8 6 3" xfId="33628"/>
    <cellStyle name="Percent 3 2 8 7" xfId="33629"/>
    <cellStyle name="Percent 3 2 8 7 2" xfId="33630"/>
    <cellStyle name="Percent 3 2 8 8" xfId="33631"/>
    <cellStyle name="Percent 3 2 8 8 2" xfId="37469"/>
    <cellStyle name="Percent 3 2 8 9" xfId="33632"/>
    <cellStyle name="Percent 3 2 9" xfId="33633"/>
    <cellStyle name="Percent 3 2 9 2" xfId="33634"/>
    <cellStyle name="Percent 3 2 9 2 2" xfId="33635"/>
    <cellStyle name="Percent 3 2 9 2 2 2" xfId="33636"/>
    <cellStyle name="Percent 3 2 9 2 2 2 2" xfId="33637"/>
    <cellStyle name="Percent 3 2 9 2 2 2 3" xfId="33638"/>
    <cellStyle name="Percent 3 2 9 2 2 3" xfId="33639"/>
    <cellStyle name="Percent 3 2 9 2 2 3 2" xfId="33640"/>
    <cellStyle name="Percent 3 2 9 2 2 4" xfId="33641"/>
    <cellStyle name="Percent 3 2 9 2 3" xfId="33642"/>
    <cellStyle name="Percent 3 2 9 2 3 2" xfId="33643"/>
    <cellStyle name="Percent 3 2 9 2 3 2 2" xfId="33644"/>
    <cellStyle name="Percent 3 2 9 2 3 3" xfId="33645"/>
    <cellStyle name="Percent 3 2 9 2 4" xfId="33646"/>
    <cellStyle name="Percent 3 2 9 2 4 2" xfId="33647"/>
    <cellStyle name="Percent 3 2 9 2 4 3" xfId="33648"/>
    <cellStyle name="Percent 3 2 9 2 5" xfId="33649"/>
    <cellStyle name="Percent 3 2 9 2 5 2" xfId="33650"/>
    <cellStyle name="Percent 3 2 9 2 6" xfId="33651"/>
    <cellStyle name="Percent 3 2 9 2 6 2" xfId="37470"/>
    <cellStyle name="Percent 3 2 9 2 7" xfId="33652"/>
    <cellStyle name="Percent 3 2 9 3" xfId="33653"/>
    <cellStyle name="Percent 3 2 9 3 2" xfId="33654"/>
    <cellStyle name="Percent 3 2 9 3 2 2" xfId="33655"/>
    <cellStyle name="Percent 3 2 9 3 2 2 2" xfId="33656"/>
    <cellStyle name="Percent 3 2 9 3 2 3" xfId="33657"/>
    <cellStyle name="Percent 3 2 9 3 3" xfId="33658"/>
    <cellStyle name="Percent 3 2 9 3 3 2" xfId="33659"/>
    <cellStyle name="Percent 3 2 9 3 4" xfId="33660"/>
    <cellStyle name="Percent 3 2 9 4" xfId="33661"/>
    <cellStyle name="Percent 3 2 9 4 2" xfId="33662"/>
    <cellStyle name="Percent 3 2 9 4 2 2" xfId="33663"/>
    <cellStyle name="Percent 3 2 9 4 3" xfId="33664"/>
    <cellStyle name="Percent 3 2 9 5" xfId="33665"/>
    <cellStyle name="Percent 3 2 9 5 2" xfId="33666"/>
    <cellStyle name="Percent 3 2 9 5 2 2" xfId="33667"/>
    <cellStyle name="Percent 3 2 9 5 3" xfId="33668"/>
    <cellStyle name="Percent 3 2 9 6" xfId="33669"/>
    <cellStyle name="Percent 3 2 9 6 2" xfId="33670"/>
    <cellStyle name="Percent 3 2 9 7" xfId="33671"/>
    <cellStyle name="Percent 3 2 9 7 2" xfId="37471"/>
    <cellStyle name="Percent 3 2 9 8" xfId="33672"/>
    <cellStyle name="Percent 3 20" xfId="35798"/>
    <cellStyle name="Percent 3 3" xfId="33673"/>
    <cellStyle name="Percent 3 3 10" xfId="33674"/>
    <cellStyle name="Percent 3 3 10 2" xfId="33675"/>
    <cellStyle name="Percent 3 3 10 2 2" xfId="33676"/>
    <cellStyle name="Percent 3 3 10 3" xfId="33677"/>
    <cellStyle name="Percent 3 3 11" xfId="33678"/>
    <cellStyle name="Percent 3 3 11 2" xfId="33679"/>
    <cellStyle name="Percent 3 3 11 2 2" xfId="33680"/>
    <cellStyle name="Percent 3 3 11 3" xfId="33681"/>
    <cellStyle name="Percent 3 3 12" xfId="33682"/>
    <cellStyle name="Percent 3 3 12 2" xfId="33683"/>
    <cellStyle name="Percent 3 3 13" xfId="33684"/>
    <cellStyle name="Percent 3 3 13 2" xfId="37472"/>
    <cellStyle name="Percent 3 3 14" xfId="33685"/>
    <cellStyle name="Percent 3 3 2" xfId="33686"/>
    <cellStyle name="Percent 3 3 2 10" xfId="33687"/>
    <cellStyle name="Percent 3 3 2 2" xfId="33688"/>
    <cellStyle name="Percent 3 3 2 2 2" xfId="33689"/>
    <cellStyle name="Percent 3 3 2 2 2 2" xfId="33690"/>
    <cellStyle name="Percent 3 3 2 2 2 2 2" xfId="33691"/>
    <cellStyle name="Percent 3 3 2 2 2 2 2 2" xfId="33692"/>
    <cellStyle name="Percent 3 3 2 2 2 2 2 2 2" xfId="33693"/>
    <cellStyle name="Percent 3 3 2 2 2 2 2 2 3" xfId="33694"/>
    <cellStyle name="Percent 3 3 2 2 2 2 2 3" xfId="33695"/>
    <cellStyle name="Percent 3 3 2 2 2 2 2 3 2" xfId="33696"/>
    <cellStyle name="Percent 3 3 2 2 2 2 2 4" xfId="33697"/>
    <cellStyle name="Percent 3 3 2 2 2 2 3" xfId="33698"/>
    <cellStyle name="Percent 3 3 2 2 2 2 3 2" xfId="33699"/>
    <cellStyle name="Percent 3 3 2 2 2 2 3 2 2" xfId="33700"/>
    <cellStyle name="Percent 3 3 2 2 2 2 3 3" xfId="33701"/>
    <cellStyle name="Percent 3 3 2 2 2 2 4" xfId="33702"/>
    <cellStyle name="Percent 3 3 2 2 2 2 4 2" xfId="33703"/>
    <cellStyle name="Percent 3 3 2 2 2 2 4 3" xfId="33704"/>
    <cellStyle name="Percent 3 3 2 2 2 2 5" xfId="33705"/>
    <cellStyle name="Percent 3 3 2 2 2 2 5 2" xfId="33706"/>
    <cellStyle name="Percent 3 3 2 2 2 2 6" xfId="33707"/>
    <cellStyle name="Percent 3 3 2 2 2 2 6 2" xfId="37473"/>
    <cellStyle name="Percent 3 3 2 2 2 2 7" xfId="33708"/>
    <cellStyle name="Percent 3 3 2 2 2 3" xfId="33709"/>
    <cellStyle name="Percent 3 3 2 2 2 3 2" xfId="33710"/>
    <cellStyle name="Percent 3 3 2 2 2 3 2 2" xfId="33711"/>
    <cellStyle name="Percent 3 3 2 2 2 3 2 2 2" xfId="33712"/>
    <cellStyle name="Percent 3 3 2 2 2 3 2 3" xfId="33713"/>
    <cellStyle name="Percent 3 3 2 2 2 3 3" xfId="33714"/>
    <cellStyle name="Percent 3 3 2 2 2 3 3 2" xfId="33715"/>
    <cellStyle name="Percent 3 3 2 2 2 3 4" xfId="33716"/>
    <cellStyle name="Percent 3 3 2 2 2 4" xfId="33717"/>
    <cellStyle name="Percent 3 3 2 2 2 4 2" xfId="33718"/>
    <cellStyle name="Percent 3 3 2 2 2 4 2 2" xfId="33719"/>
    <cellStyle name="Percent 3 3 2 2 2 4 3" xfId="33720"/>
    <cellStyle name="Percent 3 3 2 2 2 5" xfId="33721"/>
    <cellStyle name="Percent 3 3 2 2 2 5 2" xfId="33722"/>
    <cellStyle name="Percent 3 3 2 2 2 5 2 2" xfId="33723"/>
    <cellStyle name="Percent 3 3 2 2 2 5 3" xfId="33724"/>
    <cellStyle name="Percent 3 3 2 2 2 6" xfId="33725"/>
    <cellStyle name="Percent 3 3 2 2 2 6 2" xfId="33726"/>
    <cellStyle name="Percent 3 3 2 2 2 7" xfId="33727"/>
    <cellStyle name="Percent 3 3 2 2 2 7 2" xfId="37474"/>
    <cellStyle name="Percent 3 3 2 2 2 8" xfId="33728"/>
    <cellStyle name="Percent 3 3 2 2 3" xfId="33729"/>
    <cellStyle name="Percent 3 3 2 2 3 2" xfId="33730"/>
    <cellStyle name="Percent 3 3 2 2 3 2 2" xfId="33731"/>
    <cellStyle name="Percent 3 3 2 2 3 2 2 2" xfId="33732"/>
    <cellStyle name="Percent 3 3 2 2 3 2 2 3" xfId="33733"/>
    <cellStyle name="Percent 3 3 2 2 3 2 3" xfId="33734"/>
    <cellStyle name="Percent 3 3 2 2 3 2 3 2" xfId="33735"/>
    <cellStyle name="Percent 3 3 2 2 3 2 4" xfId="33736"/>
    <cellStyle name="Percent 3 3 2 2 3 3" xfId="33737"/>
    <cellStyle name="Percent 3 3 2 2 3 3 2" xfId="33738"/>
    <cellStyle name="Percent 3 3 2 2 3 3 2 2" xfId="33739"/>
    <cellStyle name="Percent 3 3 2 2 3 3 3" xfId="33740"/>
    <cellStyle name="Percent 3 3 2 2 3 4" xfId="33741"/>
    <cellStyle name="Percent 3 3 2 2 3 4 2" xfId="33742"/>
    <cellStyle name="Percent 3 3 2 2 3 4 3" xfId="33743"/>
    <cellStyle name="Percent 3 3 2 2 3 5" xfId="33744"/>
    <cellStyle name="Percent 3 3 2 2 3 5 2" xfId="33745"/>
    <cellStyle name="Percent 3 3 2 2 3 6" xfId="33746"/>
    <cellStyle name="Percent 3 3 2 2 3 6 2" xfId="37475"/>
    <cellStyle name="Percent 3 3 2 2 3 7" xfId="33747"/>
    <cellStyle name="Percent 3 3 2 2 4" xfId="33748"/>
    <cellStyle name="Percent 3 3 2 2 4 2" xfId="33749"/>
    <cellStyle name="Percent 3 3 2 2 4 2 2" xfId="33750"/>
    <cellStyle name="Percent 3 3 2 2 4 2 2 2" xfId="33751"/>
    <cellStyle name="Percent 3 3 2 2 4 2 3" xfId="33752"/>
    <cellStyle name="Percent 3 3 2 2 4 3" xfId="33753"/>
    <cellStyle name="Percent 3 3 2 2 4 3 2" xfId="33754"/>
    <cellStyle name="Percent 3 3 2 2 4 4" xfId="33755"/>
    <cellStyle name="Percent 3 3 2 2 5" xfId="33756"/>
    <cellStyle name="Percent 3 3 2 2 5 2" xfId="33757"/>
    <cellStyle name="Percent 3 3 2 2 5 2 2" xfId="33758"/>
    <cellStyle name="Percent 3 3 2 2 5 3" xfId="33759"/>
    <cellStyle name="Percent 3 3 2 2 6" xfId="33760"/>
    <cellStyle name="Percent 3 3 2 2 6 2" xfId="33761"/>
    <cellStyle name="Percent 3 3 2 2 6 2 2" xfId="33762"/>
    <cellStyle name="Percent 3 3 2 2 6 3" xfId="33763"/>
    <cellStyle name="Percent 3 3 2 2 7" xfId="33764"/>
    <cellStyle name="Percent 3 3 2 2 7 2" xfId="33765"/>
    <cellStyle name="Percent 3 3 2 2 8" xfId="33766"/>
    <cellStyle name="Percent 3 3 2 2 8 2" xfId="37476"/>
    <cellStyle name="Percent 3 3 2 2 9" xfId="33767"/>
    <cellStyle name="Percent 3 3 2 3" xfId="33768"/>
    <cellStyle name="Percent 3 3 2 3 2" xfId="33769"/>
    <cellStyle name="Percent 3 3 2 3 2 2" xfId="33770"/>
    <cellStyle name="Percent 3 3 2 3 2 2 2" xfId="33771"/>
    <cellStyle name="Percent 3 3 2 3 2 2 2 2" xfId="33772"/>
    <cellStyle name="Percent 3 3 2 3 2 2 2 3" xfId="33773"/>
    <cellStyle name="Percent 3 3 2 3 2 2 3" xfId="33774"/>
    <cellStyle name="Percent 3 3 2 3 2 2 3 2" xfId="33775"/>
    <cellStyle name="Percent 3 3 2 3 2 2 4" xfId="33776"/>
    <cellStyle name="Percent 3 3 2 3 2 3" xfId="33777"/>
    <cellStyle name="Percent 3 3 2 3 2 3 2" xfId="33778"/>
    <cellStyle name="Percent 3 3 2 3 2 3 2 2" xfId="33779"/>
    <cellStyle name="Percent 3 3 2 3 2 3 3" xfId="33780"/>
    <cellStyle name="Percent 3 3 2 3 2 4" xfId="33781"/>
    <cellStyle name="Percent 3 3 2 3 2 4 2" xfId="33782"/>
    <cellStyle name="Percent 3 3 2 3 2 4 3" xfId="33783"/>
    <cellStyle name="Percent 3 3 2 3 2 5" xfId="33784"/>
    <cellStyle name="Percent 3 3 2 3 2 5 2" xfId="33785"/>
    <cellStyle name="Percent 3 3 2 3 2 6" xfId="33786"/>
    <cellStyle name="Percent 3 3 2 3 2 6 2" xfId="37477"/>
    <cellStyle name="Percent 3 3 2 3 2 7" xfId="33787"/>
    <cellStyle name="Percent 3 3 2 3 3" xfId="33788"/>
    <cellStyle name="Percent 3 3 2 3 3 2" xfId="33789"/>
    <cellStyle name="Percent 3 3 2 3 3 2 2" xfId="33790"/>
    <cellStyle name="Percent 3 3 2 3 3 2 2 2" xfId="33791"/>
    <cellStyle name="Percent 3 3 2 3 3 2 3" xfId="33792"/>
    <cellStyle name="Percent 3 3 2 3 3 3" xfId="33793"/>
    <cellStyle name="Percent 3 3 2 3 3 3 2" xfId="33794"/>
    <cellStyle name="Percent 3 3 2 3 3 4" xfId="33795"/>
    <cellStyle name="Percent 3 3 2 3 4" xfId="33796"/>
    <cellStyle name="Percent 3 3 2 3 4 2" xfId="33797"/>
    <cellStyle name="Percent 3 3 2 3 4 2 2" xfId="33798"/>
    <cellStyle name="Percent 3 3 2 3 4 3" xfId="33799"/>
    <cellStyle name="Percent 3 3 2 3 5" xfId="33800"/>
    <cellStyle name="Percent 3 3 2 3 5 2" xfId="33801"/>
    <cellStyle name="Percent 3 3 2 3 5 2 2" xfId="33802"/>
    <cellStyle name="Percent 3 3 2 3 5 3" xfId="33803"/>
    <cellStyle name="Percent 3 3 2 3 6" xfId="33804"/>
    <cellStyle name="Percent 3 3 2 3 6 2" xfId="33805"/>
    <cellStyle name="Percent 3 3 2 3 7" xfId="33806"/>
    <cellStyle name="Percent 3 3 2 3 7 2" xfId="37478"/>
    <cellStyle name="Percent 3 3 2 3 8" xfId="33807"/>
    <cellStyle name="Percent 3 3 2 4" xfId="33808"/>
    <cellStyle name="Percent 3 3 2 4 2" xfId="33809"/>
    <cellStyle name="Percent 3 3 2 4 2 2" xfId="33810"/>
    <cellStyle name="Percent 3 3 2 4 2 2 2" xfId="33811"/>
    <cellStyle name="Percent 3 3 2 4 2 2 3" xfId="33812"/>
    <cellStyle name="Percent 3 3 2 4 2 3" xfId="33813"/>
    <cellStyle name="Percent 3 3 2 4 2 3 2" xfId="33814"/>
    <cellStyle name="Percent 3 3 2 4 2 4" xfId="33815"/>
    <cellStyle name="Percent 3 3 2 4 3" xfId="33816"/>
    <cellStyle name="Percent 3 3 2 4 3 2" xfId="33817"/>
    <cellStyle name="Percent 3 3 2 4 3 2 2" xfId="33818"/>
    <cellStyle name="Percent 3 3 2 4 3 3" xfId="33819"/>
    <cellStyle name="Percent 3 3 2 4 4" xfId="33820"/>
    <cellStyle name="Percent 3 3 2 4 4 2" xfId="33821"/>
    <cellStyle name="Percent 3 3 2 4 4 3" xfId="33822"/>
    <cellStyle name="Percent 3 3 2 4 5" xfId="33823"/>
    <cellStyle name="Percent 3 3 2 4 5 2" xfId="33824"/>
    <cellStyle name="Percent 3 3 2 4 6" xfId="33825"/>
    <cellStyle name="Percent 3 3 2 4 6 2" xfId="37479"/>
    <cellStyle name="Percent 3 3 2 4 7" xfId="33826"/>
    <cellStyle name="Percent 3 3 2 5" xfId="33827"/>
    <cellStyle name="Percent 3 3 2 5 2" xfId="33828"/>
    <cellStyle name="Percent 3 3 2 5 2 2" xfId="33829"/>
    <cellStyle name="Percent 3 3 2 5 2 2 2" xfId="33830"/>
    <cellStyle name="Percent 3 3 2 5 2 3" xfId="33831"/>
    <cellStyle name="Percent 3 3 2 5 3" xfId="33832"/>
    <cellStyle name="Percent 3 3 2 5 3 2" xfId="33833"/>
    <cellStyle name="Percent 3 3 2 5 4" xfId="33834"/>
    <cellStyle name="Percent 3 3 2 6" xfId="33835"/>
    <cellStyle name="Percent 3 3 2 6 2" xfId="33836"/>
    <cellStyle name="Percent 3 3 2 6 2 2" xfId="33837"/>
    <cellStyle name="Percent 3 3 2 6 3" xfId="33838"/>
    <cellStyle name="Percent 3 3 2 7" xfId="33839"/>
    <cellStyle name="Percent 3 3 2 7 2" xfId="33840"/>
    <cellStyle name="Percent 3 3 2 7 2 2" xfId="33841"/>
    <cellStyle name="Percent 3 3 2 7 3" xfId="33842"/>
    <cellStyle name="Percent 3 3 2 8" xfId="33843"/>
    <cellStyle name="Percent 3 3 2 8 2" xfId="33844"/>
    <cellStyle name="Percent 3 3 2 9" xfId="33845"/>
    <cellStyle name="Percent 3 3 2 9 2" xfId="37480"/>
    <cellStyle name="Percent 3 3 3" xfId="33846"/>
    <cellStyle name="Percent 3 3 3 2" xfId="33847"/>
    <cellStyle name="Percent 3 3 3 2 2" xfId="33848"/>
    <cellStyle name="Percent 3 3 3 2 2 2" xfId="33849"/>
    <cellStyle name="Percent 3 3 3 2 2 2 2" xfId="33850"/>
    <cellStyle name="Percent 3 3 3 2 2 2 2 2" xfId="33851"/>
    <cellStyle name="Percent 3 3 3 2 2 2 2 3" xfId="33852"/>
    <cellStyle name="Percent 3 3 3 2 2 2 3" xfId="33853"/>
    <cellStyle name="Percent 3 3 3 2 2 2 3 2" xfId="33854"/>
    <cellStyle name="Percent 3 3 3 2 2 2 4" xfId="33855"/>
    <cellStyle name="Percent 3 3 3 2 2 3" xfId="33856"/>
    <cellStyle name="Percent 3 3 3 2 2 3 2" xfId="33857"/>
    <cellStyle name="Percent 3 3 3 2 2 3 2 2" xfId="33858"/>
    <cellStyle name="Percent 3 3 3 2 2 3 3" xfId="33859"/>
    <cellStyle name="Percent 3 3 3 2 2 4" xfId="33860"/>
    <cellStyle name="Percent 3 3 3 2 2 4 2" xfId="33861"/>
    <cellStyle name="Percent 3 3 3 2 2 4 3" xfId="33862"/>
    <cellStyle name="Percent 3 3 3 2 2 5" xfId="33863"/>
    <cellStyle name="Percent 3 3 3 2 2 5 2" xfId="33864"/>
    <cellStyle name="Percent 3 3 3 2 2 6" xfId="33865"/>
    <cellStyle name="Percent 3 3 3 2 2 6 2" xfId="37481"/>
    <cellStyle name="Percent 3 3 3 2 2 7" xfId="33866"/>
    <cellStyle name="Percent 3 3 3 2 3" xfId="33867"/>
    <cellStyle name="Percent 3 3 3 2 3 2" xfId="33868"/>
    <cellStyle name="Percent 3 3 3 2 3 2 2" xfId="33869"/>
    <cellStyle name="Percent 3 3 3 2 3 2 2 2" xfId="33870"/>
    <cellStyle name="Percent 3 3 3 2 3 2 3" xfId="33871"/>
    <cellStyle name="Percent 3 3 3 2 3 3" xfId="33872"/>
    <cellStyle name="Percent 3 3 3 2 3 3 2" xfId="33873"/>
    <cellStyle name="Percent 3 3 3 2 3 4" xfId="33874"/>
    <cellStyle name="Percent 3 3 3 2 4" xfId="33875"/>
    <cellStyle name="Percent 3 3 3 2 4 2" xfId="33876"/>
    <cellStyle name="Percent 3 3 3 2 4 2 2" xfId="33877"/>
    <cellStyle name="Percent 3 3 3 2 4 3" xfId="33878"/>
    <cellStyle name="Percent 3 3 3 2 5" xfId="33879"/>
    <cellStyle name="Percent 3 3 3 2 5 2" xfId="33880"/>
    <cellStyle name="Percent 3 3 3 2 5 2 2" xfId="33881"/>
    <cellStyle name="Percent 3 3 3 2 5 3" xfId="33882"/>
    <cellStyle name="Percent 3 3 3 2 6" xfId="33883"/>
    <cellStyle name="Percent 3 3 3 2 6 2" xfId="33884"/>
    <cellStyle name="Percent 3 3 3 2 7" xfId="33885"/>
    <cellStyle name="Percent 3 3 3 2 7 2" xfId="37482"/>
    <cellStyle name="Percent 3 3 3 2 8" xfId="33886"/>
    <cellStyle name="Percent 3 3 3 3" xfId="33887"/>
    <cellStyle name="Percent 3 3 3 3 2" xfId="33888"/>
    <cellStyle name="Percent 3 3 3 3 2 2" xfId="33889"/>
    <cellStyle name="Percent 3 3 3 3 2 2 2" xfId="33890"/>
    <cellStyle name="Percent 3 3 3 3 2 2 3" xfId="33891"/>
    <cellStyle name="Percent 3 3 3 3 2 3" xfId="33892"/>
    <cellStyle name="Percent 3 3 3 3 2 3 2" xfId="33893"/>
    <cellStyle name="Percent 3 3 3 3 2 4" xfId="33894"/>
    <cellStyle name="Percent 3 3 3 3 3" xfId="33895"/>
    <cellStyle name="Percent 3 3 3 3 3 2" xfId="33896"/>
    <cellStyle name="Percent 3 3 3 3 3 2 2" xfId="33897"/>
    <cellStyle name="Percent 3 3 3 3 3 3" xfId="33898"/>
    <cellStyle name="Percent 3 3 3 3 4" xfId="33899"/>
    <cellStyle name="Percent 3 3 3 3 4 2" xfId="33900"/>
    <cellStyle name="Percent 3 3 3 3 4 3" xfId="33901"/>
    <cellStyle name="Percent 3 3 3 3 5" xfId="33902"/>
    <cellStyle name="Percent 3 3 3 3 5 2" xfId="33903"/>
    <cellStyle name="Percent 3 3 3 3 6" xfId="33904"/>
    <cellStyle name="Percent 3 3 3 3 6 2" xfId="37483"/>
    <cellStyle name="Percent 3 3 3 3 7" xfId="33905"/>
    <cellStyle name="Percent 3 3 3 4" xfId="33906"/>
    <cellStyle name="Percent 3 3 3 4 2" xfId="33907"/>
    <cellStyle name="Percent 3 3 3 4 2 2" xfId="33908"/>
    <cellStyle name="Percent 3 3 3 4 2 2 2" xfId="33909"/>
    <cellStyle name="Percent 3 3 3 4 2 3" xfId="33910"/>
    <cellStyle name="Percent 3 3 3 4 3" xfId="33911"/>
    <cellStyle name="Percent 3 3 3 4 3 2" xfId="33912"/>
    <cellStyle name="Percent 3 3 3 4 4" xfId="33913"/>
    <cellStyle name="Percent 3 3 3 5" xfId="33914"/>
    <cellStyle name="Percent 3 3 3 5 2" xfId="33915"/>
    <cellStyle name="Percent 3 3 3 5 2 2" xfId="33916"/>
    <cellStyle name="Percent 3 3 3 5 3" xfId="33917"/>
    <cellStyle name="Percent 3 3 3 6" xfId="33918"/>
    <cellStyle name="Percent 3 3 3 6 2" xfId="33919"/>
    <cellStyle name="Percent 3 3 3 6 2 2" xfId="33920"/>
    <cellStyle name="Percent 3 3 3 6 3" xfId="33921"/>
    <cellStyle name="Percent 3 3 3 7" xfId="33922"/>
    <cellStyle name="Percent 3 3 3 7 2" xfId="33923"/>
    <cellStyle name="Percent 3 3 3 8" xfId="33924"/>
    <cellStyle name="Percent 3 3 3 8 2" xfId="37484"/>
    <cellStyle name="Percent 3 3 3 9" xfId="33925"/>
    <cellStyle name="Percent 3 3 4" xfId="33926"/>
    <cellStyle name="Percent 3 3 4 2" xfId="33927"/>
    <cellStyle name="Percent 3 3 4 2 2" xfId="33928"/>
    <cellStyle name="Percent 3 3 4 2 2 2" xfId="33929"/>
    <cellStyle name="Percent 3 3 4 2 2 2 2" xfId="33930"/>
    <cellStyle name="Percent 3 3 4 2 2 2 2 2" xfId="33931"/>
    <cellStyle name="Percent 3 3 4 2 2 2 2 3" xfId="33932"/>
    <cellStyle name="Percent 3 3 4 2 2 2 3" xfId="33933"/>
    <cellStyle name="Percent 3 3 4 2 2 2 3 2" xfId="33934"/>
    <cellStyle name="Percent 3 3 4 2 2 2 4" xfId="33935"/>
    <cellStyle name="Percent 3 3 4 2 2 3" xfId="33936"/>
    <cellStyle name="Percent 3 3 4 2 2 3 2" xfId="33937"/>
    <cellStyle name="Percent 3 3 4 2 2 3 2 2" xfId="33938"/>
    <cellStyle name="Percent 3 3 4 2 2 3 3" xfId="33939"/>
    <cellStyle name="Percent 3 3 4 2 2 4" xfId="33940"/>
    <cellStyle name="Percent 3 3 4 2 2 4 2" xfId="33941"/>
    <cellStyle name="Percent 3 3 4 2 2 4 3" xfId="33942"/>
    <cellStyle name="Percent 3 3 4 2 2 5" xfId="33943"/>
    <cellStyle name="Percent 3 3 4 2 2 5 2" xfId="33944"/>
    <cellStyle name="Percent 3 3 4 2 2 6" xfId="33945"/>
    <cellStyle name="Percent 3 3 4 2 2 6 2" xfId="37485"/>
    <cellStyle name="Percent 3 3 4 2 2 7" xfId="33946"/>
    <cellStyle name="Percent 3 3 4 2 3" xfId="33947"/>
    <cellStyle name="Percent 3 3 4 2 3 2" xfId="33948"/>
    <cellStyle name="Percent 3 3 4 2 3 2 2" xfId="33949"/>
    <cellStyle name="Percent 3 3 4 2 3 2 2 2" xfId="33950"/>
    <cellStyle name="Percent 3 3 4 2 3 2 3" xfId="33951"/>
    <cellStyle name="Percent 3 3 4 2 3 3" xfId="33952"/>
    <cellStyle name="Percent 3 3 4 2 3 3 2" xfId="33953"/>
    <cellStyle name="Percent 3 3 4 2 3 4" xfId="33954"/>
    <cellStyle name="Percent 3 3 4 2 4" xfId="33955"/>
    <cellStyle name="Percent 3 3 4 2 4 2" xfId="33956"/>
    <cellStyle name="Percent 3 3 4 2 4 2 2" xfId="33957"/>
    <cellStyle name="Percent 3 3 4 2 4 3" xfId="33958"/>
    <cellStyle name="Percent 3 3 4 2 5" xfId="33959"/>
    <cellStyle name="Percent 3 3 4 2 5 2" xfId="33960"/>
    <cellStyle name="Percent 3 3 4 2 5 2 2" xfId="33961"/>
    <cellStyle name="Percent 3 3 4 2 5 3" xfId="33962"/>
    <cellStyle name="Percent 3 3 4 2 6" xfId="33963"/>
    <cellStyle name="Percent 3 3 4 2 6 2" xfId="33964"/>
    <cellStyle name="Percent 3 3 4 2 7" xfId="33965"/>
    <cellStyle name="Percent 3 3 4 2 7 2" xfId="37486"/>
    <cellStyle name="Percent 3 3 4 2 8" xfId="33966"/>
    <cellStyle name="Percent 3 3 4 3" xfId="33967"/>
    <cellStyle name="Percent 3 3 4 3 2" xfId="33968"/>
    <cellStyle name="Percent 3 3 4 3 2 2" xfId="33969"/>
    <cellStyle name="Percent 3 3 4 3 2 2 2" xfId="33970"/>
    <cellStyle name="Percent 3 3 4 3 2 2 3" xfId="33971"/>
    <cellStyle name="Percent 3 3 4 3 2 3" xfId="33972"/>
    <cellStyle name="Percent 3 3 4 3 2 3 2" xfId="33973"/>
    <cellStyle name="Percent 3 3 4 3 2 4" xfId="33974"/>
    <cellStyle name="Percent 3 3 4 3 3" xfId="33975"/>
    <cellStyle name="Percent 3 3 4 3 3 2" xfId="33976"/>
    <cellStyle name="Percent 3 3 4 3 3 2 2" xfId="33977"/>
    <cellStyle name="Percent 3 3 4 3 3 3" xfId="33978"/>
    <cellStyle name="Percent 3 3 4 3 4" xfId="33979"/>
    <cellStyle name="Percent 3 3 4 3 4 2" xfId="33980"/>
    <cellStyle name="Percent 3 3 4 3 4 3" xfId="33981"/>
    <cellStyle name="Percent 3 3 4 3 5" xfId="33982"/>
    <cellStyle name="Percent 3 3 4 3 5 2" xfId="33983"/>
    <cellStyle name="Percent 3 3 4 3 6" xfId="33984"/>
    <cellStyle name="Percent 3 3 4 3 6 2" xfId="37487"/>
    <cellStyle name="Percent 3 3 4 3 7" xfId="33985"/>
    <cellStyle name="Percent 3 3 4 4" xfId="33986"/>
    <cellStyle name="Percent 3 3 4 4 2" xfId="33987"/>
    <cellStyle name="Percent 3 3 4 4 2 2" xfId="33988"/>
    <cellStyle name="Percent 3 3 4 4 2 2 2" xfId="33989"/>
    <cellStyle name="Percent 3 3 4 4 2 3" xfId="33990"/>
    <cellStyle name="Percent 3 3 4 4 3" xfId="33991"/>
    <cellStyle name="Percent 3 3 4 4 3 2" xfId="33992"/>
    <cellStyle name="Percent 3 3 4 4 4" xfId="33993"/>
    <cellStyle name="Percent 3 3 4 5" xfId="33994"/>
    <cellStyle name="Percent 3 3 4 5 2" xfId="33995"/>
    <cellStyle name="Percent 3 3 4 5 2 2" xfId="33996"/>
    <cellStyle name="Percent 3 3 4 5 3" xfId="33997"/>
    <cellStyle name="Percent 3 3 4 6" xfId="33998"/>
    <cellStyle name="Percent 3 3 4 6 2" xfId="33999"/>
    <cellStyle name="Percent 3 3 4 6 2 2" xfId="34000"/>
    <cellStyle name="Percent 3 3 4 6 3" xfId="34001"/>
    <cellStyle name="Percent 3 3 4 7" xfId="34002"/>
    <cellStyle name="Percent 3 3 4 7 2" xfId="34003"/>
    <cellStyle name="Percent 3 3 4 8" xfId="34004"/>
    <cellStyle name="Percent 3 3 4 8 2" xfId="37488"/>
    <cellStyle name="Percent 3 3 4 9" xfId="34005"/>
    <cellStyle name="Percent 3 3 5" xfId="34006"/>
    <cellStyle name="Percent 3 3 5 2" xfId="34007"/>
    <cellStyle name="Percent 3 3 5 2 2" xfId="34008"/>
    <cellStyle name="Percent 3 3 5 2 2 2" xfId="34009"/>
    <cellStyle name="Percent 3 3 5 2 2 2 2" xfId="34010"/>
    <cellStyle name="Percent 3 3 5 2 2 2 3" xfId="34011"/>
    <cellStyle name="Percent 3 3 5 2 2 3" xfId="34012"/>
    <cellStyle name="Percent 3 3 5 2 2 3 2" xfId="34013"/>
    <cellStyle name="Percent 3 3 5 2 2 4" xfId="34014"/>
    <cellStyle name="Percent 3 3 5 2 3" xfId="34015"/>
    <cellStyle name="Percent 3 3 5 2 3 2" xfId="34016"/>
    <cellStyle name="Percent 3 3 5 2 3 2 2" xfId="34017"/>
    <cellStyle name="Percent 3 3 5 2 3 3" xfId="34018"/>
    <cellStyle name="Percent 3 3 5 2 4" xfId="34019"/>
    <cellStyle name="Percent 3 3 5 2 4 2" xfId="34020"/>
    <cellStyle name="Percent 3 3 5 2 4 3" xfId="34021"/>
    <cellStyle name="Percent 3 3 5 2 5" xfId="34022"/>
    <cellStyle name="Percent 3 3 5 2 5 2" xfId="34023"/>
    <cellStyle name="Percent 3 3 5 2 6" xfId="34024"/>
    <cellStyle name="Percent 3 3 5 2 6 2" xfId="37489"/>
    <cellStyle name="Percent 3 3 5 2 7" xfId="34025"/>
    <cellStyle name="Percent 3 3 5 3" xfId="34026"/>
    <cellStyle name="Percent 3 3 5 3 2" xfId="34027"/>
    <cellStyle name="Percent 3 3 5 3 2 2" xfId="34028"/>
    <cellStyle name="Percent 3 3 5 3 2 2 2" xfId="34029"/>
    <cellStyle name="Percent 3 3 5 3 2 3" xfId="34030"/>
    <cellStyle name="Percent 3 3 5 3 3" xfId="34031"/>
    <cellStyle name="Percent 3 3 5 3 3 2" xfId="34032"/>
    <cellStyle name="Percent 3 3 5 3 4" xfId="34033"/>
    <cellStyle name="Percent 3 3 5 4" xfId="34034"/>
    <cellStyle name="Percent 3 3 5 4 2" xfId="34035"/>
    <cellStyle name="Percent 3 3 5 4 2 2" xfId="34036"/>
    <cellStyle name="Percent 3 3 5 4 3" xfId="34037"/>
    <cellStyle name="Percent 3 3 5 5" xfId="34038"/>
    <cellStyle name="Percent 3 3 5 5 2" xfId="34039"/>
    <cellStyle name="Percent 3 3 5 5 2 2" xfId="34040"/>
    <cellStyle name="Percent 3 3 5 5 3" xfId="34041"/>
    <cellStyle name="Percent 3 3 5 6" xfId="34042"/>
    <cellStyle name="Percent 3 3 5 6 2" xfId="34043"/>
    <cellStyle name="Percent 3 3 5 7" xfId="34044"/>
    <cellStyle name="Percent 3 3 5 7 2" xfId="37490"/>
    <cellStyle name="Percent 3 3 5 8" xfId="34045"/>
    <cellStyle name="Percent 3 3 6" xfId="34046"/>
    <cellStyle name="Percent 3 3 6 2" xfId="34047"/>
    <cellStyle name="Percent 3 3 6 2 2" xfId="34048"/>
    <cellStyle name="Percent 3 3 6 2 2 2" xfId="34049"/>
    <cellStyle name="Percent 3 3 6 2 2 2 2" xfId="34050"/>
    <cellStyle name="Percent 3 3 6 2 2 2 3" xfId="34051"/>
    <cellStyle name="Percent 3 3 6 2 2 3" xfId="34052"/>
    <cellStyle name="Percent 3 3 6 2 2 3 2" xfId="34053"/>
    <cellStyle name="Percent 3 3 6 2 2 4" xfId="34054"/>
    <cellStyle name="Percent 3 3 6 2 3" xfId="34055"/>
    <cellStyle name="Percent 3 3 6 2 3 2" xfId="34056"/>
    <cellStyle name="Percent 3 3 6 2 3 2 2" xfId="34057"/>
    <cellStyle name="Percent 3 3 6 2 3 3" xfId="34058"/>
    <cellStyle name="Percent 3 3 6 2 4" xfId="34059"/>
    <cellStyle name="Percent 3 3 6 2 4 2" xfId="34060"/>
    <cellStyle name="Percent 3 3 6 2 4 3" xfId="34061"/>
    <cellStyle name="Percent 3 3 6 2 5" xfId="34062"/>
    <cellStyle name="Percent 3 3 6 2 5 2" xfId="34063"/>
    <cellStyle name="Percent 3 3 6 2 6" xfId="34064"/>
    <cellStyle name="Percent 3 3 6 2 6 2" xfId="37491"/>
    <cellStyle name="Percent 3 3 6 2 7" xfId="34065"/>
    <cellStyle name="Percent 3 3 6 3" xfId="34066"/>
    <cellStyle name="Percent 3 3 6 3 2" xfId="34067"/>
    <cellStyle name="Percent 3 3 6 3 2 2" xfId="34068"/>
    <cellStyle name="Percent 3 3 6 3 2 2 2" xfId="34069"/>
    <cellStyle name="Percent 3 3 6 3 2 3" xfId="34070"/>
    <cellStyle name="Percent 3 3 6 3 3" xfId="34071"/>
    <cellStyle name="Percent 3 3 6 3 3 2" xfId="34072"/>
    <cellStyle name="Percent 3 3 6 3 4" xfId="34073"/>
    <cellStyle name="Percent 3 3 6 4" xfId="34074"/>
    <cellStyle name="Percent 3 3 6 4 2" xfId="34075"/>
    <cellStyle name="Percent 3 3 6 4 2 2" xfId="34076"/>
    <cellStyle name="Percent 3 3 6 4 3" xfId="34077"/>
    <cellStyle name="Percent 3 3 6 5" xfId="34078"/>
    <cellStyle name="Percent 3 3 6 5 2" xfId="34079"/>
    <cellStyle name="Percent 3 3 6 5 2 2" xfId="34080"/>
    <cellStyle name="Percent 3 3 6 5 3" xfId="34081"/>
    <cellStyle name="Percent 3 3 6 6" xfId="34082"/>
    <cellStyle name="Percent 3 3 6 6 2" xfId="34083"/>
    <cellStyle name="Percent 3 3 6 7" xfId="34084"/>
    <cellStyle name="Percent 3 3 6 7 2" xfId="37492"/>
    <cellStyle name="Percent 3 3 6 8" xfId="34085"/>
    <cellStyle name="Percent 3 3 7" xfId="34086"/>
    <cellStyle name="Percent 3 3 7 2" xfId="34087"/>
    <cellStyle name="Percent 3 3 7 2 2" xfId="34088"/>
    <cellStyle name="Percent 3 3 7 2 2 2" xfId="34089"/>
    <cellStyle name="Percent 3 3 7 2 2 2 2" xfId="34090"/>
    <cellStyle name="Percent 3 3 7 2 2 2 3" xfId="34091"/>
    <cellStyle name="Percent 3 3 7 2 2 3" xfId="34092"/>
    <cellStyle name="Percent 3 3 7 2 2 3 2" xfId="34093"/>
    <cellStyle name="Percent 3 3 7 2 2 4" xfId="34094"/>
    <cellStyle name="Percent 3 3 7 2 3" xfId="34095"/>
    <cellStyle name="Percent 3 3 7 2 3 2" xfId="34096"/>
    <cellStyle name="Percent 3 3 7 2 3 2 2" xfId="34097"/>
    <cellStyle name="Percent 3 3 7 2 3 3" xfId="34098"/>
    <cellStyle name="Percent 3 3 7 2 4" xfId="34099"/>
    <cellStyle name="Percent 3 3 7 2 4 2" xfId="34100"/>
    <cellStyle name="Percent 3 3 7 2 4 3" xfId="34101"/>
    <cellStyle name="Percent 3 3 7 2 5" xfId="34102"/>
    <cellStyle name="Percent 3 3 7 2 5 2" xfId="34103"/>
    <cellStyle name="Percent 3 3 7 2 6" xfId="34104"/>
    <cellStyle name="Percent 3 3 7 2 6 2" xfId="37493"/>
    <cellStyle name="Percent 3 3 7 2 7" xfId="34105"/>
    <cellStyle name="Percent 3 3 7 3" xfId="34106"/>
    <cellStyle name="Percent 3 3 7 3 2" xfId="34107"/>
    <cellStyle name="Percent 3 3 7 3 2 2" xfId="34108"/>
    <cellStyle name="Percent 3 3 7 3 2 2 2" xfId="34109"/>
    <cellStyle name="Percent 3 3 7 3 2 3" xfId="34110"/>
    <cellStyle name="Percent 3 3 7 3 3" xfId="34111"/>
    <cellStyle name="Percent 3 3 7 3 3 2" xfId="34112"/>
    <cellStyle name="Percent 3 3 7 3 4" xfId="34113"/>
    <cellStyle name="Percent 3 3 7 4" xfId="34114"/>
    <cellStyle name="Percent 3 3 7 4 2" xfId="34115"/>
    <cellStyle name="Percent 3 3 7 4 2 2" xfId="34116"/>
    <cellStyle name="Percent 3 3 7 4 3" xfId="34117"/>
    <cellStyle name="Percent 3 3 7 5" xfId="34118"/>
    <cellStyle name="Percent 3 3 7 5 2" xfId="34119"/>
    <cellStyle name="Percent 3 3 7 5 2 2" xfId="34120"/>
    <cellStyle name="Percent 3 3 7 5 3" xfId="34121"/>
    <cellStyle name="Percent 3 3 7 6" xfId="34122"/>
    <cellStyle name="Percent 3 3 7 6 2" xfId="34123"/>
    <cellStyle name="Percent 3 3 7 7" xfId="34124"/>
    <cellStyle name="Percent 3 3 7 7 2" xfId="37494"/>
    <cellStyle name="Percent 3 3 7 8" xfId="34125"/>
    <cellStyle name="Percent 3 3 8" xfId="34126"/>
    <cellStyle name="Percent 3 3 8 2" xfId="34127"/>
    <cellStyle name="Percent 3 3 8 2 2" xfId="34128"/>
    <cellStyle name="Percent 3 3 8 2 2 2" xfId="34129"/>
    <cellStyle name="Percent 3 3 8 2 2 3" xfId="34130"/>
    <cellStyle name="Percent 3 3 8 2 3" xfId="34131"/>
    <cellStyle name="Percent 3 3 8 2 3 2" xfId="34132"/>
    <cellStyle name="Percent 3 3 8 2 4" xfId="34133"/>
    <cellStyle name="Percent 3 3 8 3" xfId="34134"/>
    <cellStyle name="Percent 3 3 8 3 2" xfId="34135"/>
    <cellStyle name="Percent 3 3 8 3 2 2" xfId="34136"/>
    <cellStyle name="Percent 3 3 8 3 3" xfId="34137"/>
    <cellStyle name="Percent 3 3 8 4" xfId="34138"/>
    <cellStyle name="Percent 3 3 8 4 2" xfId="34139"/>
    <cellStyle name="Percent 3 3 8 4 3" xfId="34140"/>
    <cellStyle name="Percent 3 3 8 5" xfId="34141"/>
    <cellStyle name="Percent 3 3 8 5 2" xfId="34142"/>
    <cellStyle name="Percent 3 3 8 6" xfId="34143"/>
    <cellStyle name="Percent 3 3 8 6 2" xfId="37495"/>
    <cellStyle name="Percent 3 3 8 7" xfId="34144"/>
    <cellStyle name="Percent 3 3 9" xfId="34145"/>
    <cellStyle name="Percent 3 3 9 2" xfId="34146"/>
    <cellStyle name="Percent 3 3 9 2 2" xfId="34147"/>
    <cellStyle name="Percent 3 3 9 2 2 2" xfId="34148"/>
    <cellStyle name="Percent 3 3 9 2 3" xfId="34149"/>
    <cellStyle name="Percent 3 3 9 3" xfId="34150"/>
    <cellStyle name="Percent 3 3 9 3 2" xfId="34151"/>
    <cellStyle name="Percent 3 3 9 4" xfId="34152"/>
    <cellStyle name="Percent 3 4" xfId="34153"/>
    <cellStyle name="Percent 3 4 10" xfId="34154"/>
    <cellStyle name="Percent 3 4 10 2" xfId="34155"/>
    <cellStyle name="Percent 3 4 10 2 2" xfId="34156"/>
    <cellStyle name="Percent 3 4 10 3" xfId="34157"/>
    <cellStyle name="Percent 3 4 11" xfId="34158"/>
    <cellStyle name="Percent 3 4 11 2" xfId="34159"/>
    <cellStyle name="Percent 3 4 11 2 2" xfId="34160"/>
    <cellStyle name="Percent 3 4 11 3" xfId="34161"/>
    <cellStyle name="Percent 3 4 12" xfId="34162"/>
    <cellStyle name="Percent 3 4 12 2" xfId="34163"/>
    <cellStyle name="Percent 3 4 13" xfId="34164"/>
    <cellStyle name="Percent 3 4 13 2" xfId="37496"/>
    <cellStyle name="Percent 3 4 14" xfId="34165"/>
    <cellStyle name="Percent 3 4 2" xfId="34166"/>
    <cellStyle name="Percent 3 4 2 10" xfId="34167"/>
    <cellStyle name="Percent 3 4 2 2" xfId="34168"/>
    <cellStyle name="Percent 3 4 2 2 2" xfId="34169"/>
    <cellStyle name="Percent 3 4 2 2 2 2" xfId="34170"/>
    <cellStyle name="Percent 3 4 2 2 2 2 2" xfId="34171"/>
    <cellStyle name="Percent 3 4 2 2 2 2 2 2" xfId="34172"/>
    <cellStyle name="Percent 3 4 2 2 2 2 2 2 2" xfId="34173"/>
    <cellStyle name="Percent 3 4 2 2 2 2 2 2 3" xfId="34174"/>
    <cellStyle name="Percent 3 4 2 2 2 2 2 3" xfId="34175"/>
    <cellStyle name="Percent 3 4 2 2 2 2 2 3 2" xfId="34176"/>
    <cellStyle name="Percent 3 4 2 2 2 2 2 4" xfId="34177"/>
    <cellStyle name="Percent 3 4 2 2 2 2 3" xfId="34178"/>
    <cellStyle name="Percent 3 4 2 2 2 2 3 2" xfId="34179"/>
    <cellStyle name="Percent 3 4 2 2 2 2 3 2 2" xfId="34180"/>
    <cellStyle name="Percent 3 4 2 2 2 2 3 3" xfId="34181"/>
    <cellStyle name="Percent 3 4 2 2 2 2 4" xfId="34182"/>
    <cellStyle name="Percent 3 4 2 2 2 2 4 2" xfId="34183"/>
    <cellStyle name="Percent 3 4 2 2 2 2 4 3" xfId="34184"/>
    <cellStyle name="Percent 3 4 2 2 2 2 5" xfId="34185"/>
    <cellStyle name="Percent 3 4 2 2 2 2 5 2" xfId="34186"/>
    <cellStyle name="Percent 3 4 2 2 2 2 6" xfId="34187"/>
    <cellStyle name="Percent 3 4 2 2 2 2 6 2" xfId="37497"/>
    <cellStyle name="Percent 3 4 2 2 2 2 7" xfId="34188"/>
    <cellStyle name="Percent 3 4 2 2 2 3" xfId="34189"/>
    <cellStyle name="Percent 3 4 2 2 2 3 2" xfId="34190"/>
    <cellStyle name="Percent 3 4 2 2 2 3 2 2" xfId="34191"/>
    <cellStyle name="Percent 3 4 2 2 2 3 2 2 2" xfId="34192"/>
    <cellStyle name="Percent 3 4 2 2 2 3 2 3" xfId="34193"/>
    <cellStyle name="Percent 3 4 2 2 2 3 3" xfId="34194"/>
    <cellStyle name="Percent 3 4 2 2 2 3 3 2" xfId="34195"/>
    <cellStyle name="Percent 3 4 2 2 2 3 4" xfId="34196"/>
    <cellStyle name="Percent 3 4 2 2 2 4" xfId="34197"/>
    <cellStyle name="Percent 3 4 2 2 2 4 2" xfId="34198"/>
    <cellStyle name="Percent 3 4 2 2 2 4 2 2" xfId="34199"/>
    <cellStyle name="Percent 3 4 2 2 2 4 3" xfId="34200"/>
    <cellStyle name="Percent 3 4 2 2 2 5" xfId="34201"/>
    <cellStyle name="Percent 3 4 2 2 2 5 2" xfId="34202"/>
    <cellStyle name="Percent 3 4 2 2 2 5 2 2" xfId="34203"/>
    <cellStyle name="Percent 3 4 2 2 2 5 3" xfId="34204"/>
    <cellStyle name="Percent 3 4 2 2 2 6" xfId="34205"/>
    <cellStyle name="Percent 3 4 2 2 2 6 2" xfId="34206"/>
    <cellStyle name="Percent 3 4 2 2 2 7" xfId="34207"/>
    <cellStyle name="Percent 3 4 2 2 2 7 2" xfId="37498"/>
    <cellStyle name="Percent 3 4 2 2 2 8" xfId="34208"/>
    <cellStyle name="Percent 3 4 2 2 3" xfId="34209"/>
    <cellStyle name="Percent 3 4 2 2 3 2" xfId="34210"/>
    <cellStyle name="Percent 3 4 2 2 3 2 2" xfId="34211"/>
    <cellStyle name="Percent 3 4 2 2 3 2 2 2" xfId="34212"/>
    <cellStyle name="Percent 3 4 2 2 3 2 2 3" xfId="34213"/>
    <cellStyle name="Percent 3 4 2 2 3 2 3" xfId="34214"/>
    <cellStyle name="Percent 3 4 2 2 3 2 3 2" xfId="34215"/>
    <cellStyle name="Percent 3 4 2 2 3 2 4" xfId="34216"/>
    <cellStyle name="Percent 3 4 2 2 3 3" xfId="34217"/>
    <cellStyle name="Percent 3 4 2 2 3 3 2" xfId="34218"/>
    <cellStyle name="Percent 3 4 2 2 3 3 2 2" xfId="34219"/>
    <cellStyle name="Percent 3 4 2 2 3 3 3" xfId="34220"/>
    <cellStyle name="Percent 3 4 2 2 3 4" xfId="34221"/>
    <cellStyle name="Percent 3 4 2 2 3 4 2" xfId="34222"/>
    <cellStyle name="Percent 3 4 2 2 3 4 3" xfId="34223"/>
    <cellStyle name="Percent 3 4 2 2 3 5" xfId="34224"/>
    <cellStyle name="Percent 3 4 2 2 3 5 2" xfId="34225"/>
    <cellStyle name="Percent 3 4 2 2 3 6" xfId="34226"/>
    <cellStyle name="Percent 3 4 2 2 3 6 2" xfId="37499"/>
    <cellStyle name="Percent 3 4 2 2 3 7" xfId="34227"/>
    <cellStyle name="Percent 3 4 2 2 4" xfId="34228"/>
    <cellStyle name="Percent 3 4 2 2 4 2" xfId="34229"/>
    <cellStyle name="Percent 3 4 2 2 4 2 2" xfId="34230"/>
    <cellStyle name="Percent 3 4 2 2 4 2 2 2" xfId="34231"/>
    <cellStyle name="Percent 3 4 2 2 4 2 3" xfId="34232"/>
    <cellStyle name="Percent 3 4 2 2 4 3" xfId="34233"/>
    <cellStyle name="Percent 3 4 2 2 4 3 2" xfId="34234"/>
    <cellStyle name="Percent 3 4 2 2 4 4" xfId="34235"/>
    <cellStyle name="Percent 3 4 2 2 5" xfId="34236"/>
    <cellStyle name="Percent 3 4 2 2 5 2" xfId="34237"/>
    <cellStyle name="Percent 3 4 2 2 5 2 2" xfId="34238"/>
    <cellStyle name="Percent 3 4 2 2 5 3" xfId="34239"/>
    <cellStyle name="Percent 3 4 2 2 6" xfId="34240"/>
    <cellStyle name="Percent 3 4 2 2 6 2" xfId="34241"/>
    <cellStyle name="Percent 3 4 2 2 6 2 2" xfId="34242"/>
    <cellStyle name="Percent 3 4 2 2 6 3" xfId="34243"/>
    <cellStyle name="Percent 3 4 2 2 7" xfId="34244"/>
    <cellStyle name="Percent 3 4 2 2 7 2" xfId="34245"/>
    <cellStyle name="Percent 3 4 2 2 8" xfId="34246"/>
    <cellStyle name="Percent 3 4 2 2 8 2" xfId="37500"/>
    <cellStyle name="Percent 3 4 2 2 9" xfId="34247"/>
    <cellStyle name="Percent 3 4 2 3" xfId="34248"/>
    <cellStyle name="Percent 3 4 2 3 2" xfId="34249"/>
    <cellStyle name="Percent 3 4 2 3 2 2" xfId="34250"/>
    <cellStyle name="Percent 3 4 2 3 2 2 2" xfId="34251"/>
    <cellStyle name="Percent 3 4 2 3 2 2 2 2" xfId="34252"/>
    <cellStyle name="Percent 3 4 2 3 2 2 2 3" xfId="34253"/>
    <cellStyle name="Percent 3 4 2 3 2 2 3" xfId="34254"/>
    <cellStyle name="Percent 3 4 2 3 2 2 3 2" xfId="34255"/>
    <cellStyle name="Percent 3 4 2 3 2 2 4" xfId="34256"/>
    <cellStyle name="Percent 3 4 2 3 2 3" xfId="34257"/>
    <cellStyle name="Percent 3 4 2 3 2 3 2" xfId="34258"/>
    <cellStyle name="Percent 3 4 2 3 2 3 2 2" xfId="34259"/>
    <cellStyle name="Percent 3 4 2 3 2 3 3" xfId="34260"/>
    <cellStyle name="Percent 3 4 2 3 2 4" xfId="34261"/>
    <cellStyle name="Percent 3 4 2 3 2 4 2" xfId="34262"/>
    <cellStyle name="Percent 3 4 2 3 2 4 3" xfId="34263"/>
    <cellStyle name="Percent 3 4 2 3 2 5" xfId="34264"/>
    <cellStyle name="Percent 3 4 2 3 2 5 2" xfId="34265"/>
    <cellStyle name="Percent 3 4 2 3 2 6" xfId="34266"/>
    <cellStyle name="Percent 3 4 2 3 2 6 2" xfId="37501"/>
    <cellStyle name="Percent 3 4 2 3 2 7" xfId="34267"/>
    <cellStyle name="Percent 3 4 2 3 3" xfId="34268"/>
    <cellStyle name="Percent 3 4 2 3 3 2" xfId="34269"/>
    <cellStyle name="Percent 3 4 2 3 3 2 2" xfId="34270"/>
    <cellStyle name="Percent 3 4 2 3 3 2 2 2" xfId="34271"/>
    <cellStyle name="Percent 3 4 2 3 3 2 3" xfId="34272"/>
    <cellStyle name="Percent 3 4 2 3 3 3" xfId="34273"/>
    <cellStyle name="Percent 3 4 2 3 3 3 2" xfId="34274"/>
    <cellStyle name="Percent 3 4 2 3 3 4" xfId="34275"/>
    <cellStyle name="Percent 3 4 2 3 4" xfId="34276"/>
    <cellStyle name="Percent 3 4 2 3 4 2" xfId="34277"/>
    <cellStyle name="Percent 3 4 2 3 4 2 2" xfId="34278"/>
    <cellStyle name="Percent 3 4 2 3 4 3" xfId="34279"/>
    <cellStyle name="Percent 3 4 2 3 5" xfId="34280"/>
    <cellStyle name="Percent 3 4 2 3 5 2" xfId="34281"/>
    <cellStyle name="Percent 3 4 2 3 5 2 2" xfId="34282"/>
    <cellStyle name="Percent 3 4 2 3 5 3" xfId="34283"/>
    <cellStyle name="Percent 3 4 2 3 6" xfId="34284"/>
    <cellStyle name="Percent 3 4 2 3 6 2" xfId="34285"/>
    <cellStyle name="Percent 3 4 2 3 7" xfId="34286"/>
    <cellStyle name="Percent 3 4 2 3 7 2" xfId="37502"/>
    <cellStyle name="Percent 3 4 2 3 8" xfId="34287"/>
    <cellStyle name="Percent 3 4 2 4" xfId="34288"/>
    <cellStyle name="Percent 3 4 2 4 2" xfId="34289"/>
    <cellStyle name="Percent 3 4 2 4 2 2" xfId="34290"/>
    <cellStyle name="Percent 3 4 2 4 2 2 2" xfId="34291"/>
    <cellStyle name="Percent 3 4 2 4 2 2 3" xfId="34292"/>
    <cellStyle name="Percent 3 4 2 4 2 3" xfId="34293"/>
    <cellStyle name="Percent 3 4 2 4 2 3 2" xfId="34294"/>
    <cellStyle name="Percent 3 4 2 4 2 4" xfId="34295"/>
    <cellStyle name="Percent 3 4 2 4 3" xfId="34296"/>
    <cellStyle name="Percent 3 4 2 4 3 2" xfId="34297"/>
    <cellStyle name="Percent 3 4 2 4 3 2 2" xfId="34298"/>
    <cellStyle name="Percent 3 4 2 4 3 3" xfId="34299"/>
    <cellStyle name="Percent 3 4 2 4 4" xfId="34300"/>
    <cellStyle name="Percent 3 4 2 4 4 2" xfId="34301"/>
    <cellStyle name="Percent 3 4 2 4 4 3" xfId="34302"/>
    <cellStyle name="Percent 3 4 2 4 5" xfId="34303"/>
    <cellStyle name="Percent 3 4 2 4 5 2" xfId="34304"/>
    <cellStyle name="Percent 3 4 2 4 6" xfId="34305"/>
    <cellStyle name="Percent 3 4 2 4 6 2" xfId="37503"/>
    <cellStyle name="Percent 3 4 2 4 7" xfId="34306"/>
    <cellStyle name="Percent 3 4 2 5" xfId="34307"/>
    <cellStyle name="Percent 3 4 2 5 2" xfId="34308"/>
    <cellStyle name="Percent 3 4 2 5 2 2" xfId="34309"/>
    <cellStyle name="Percent 3 4 2 5 2 2 2" xfId="34310"/>
    <cellStyle name="Percent 3 4 2 5 2 3" xfId="34311"/>
    <cellStyle name="Percent 3 4 2 5 3" xfId="34312"/>
    <cellStyle name="Percent 3 4 2 5 3 2" xfId="34313"/>
    <cellStyle name="Percent 3 4 2 5 4" xfId="34314"/>
    <cellStyle name="Percent 3 4 2 6" xfId="34315"/>
    <cellStyle name="Percent 3 4 2 6 2" xfId="34316"/>
    <cellStyle name="Percent 3 4 2 6 2 2" xfId="34317"/>
    <cellStyle name="Percent 3 4 2 6 3" xfId="34318"/>
    <cellStyle name="Percent 3 4 2 7" xfId="34319"/>
    <cellStyle name="Percent 3 4 2 7 2" xfId="34320"/>
    <cellStyle name="Percent 3 4 2 7 2 2" xfId="34321"/>
    <cellStyle name="Percent 3 4 2 7 3" xfId="34322"/>
    <cellStyle name="Percent 3 4 2 8" xfId="34323"/>
    <cellStyle name="Percent 3 4 2 8 2" xfId="34324"/>
    <cellStyle name="Percent 3 4 2 9" xfId="34325"/>
    <cellStyle name="Percent 3 4 2 9 2" xfId="37504"/>
    <cellStyle name="Percent 3 4 3" xfId="34326"/>
    <cellStyle name="Percent 3 4 3 2" xfId="34327"/>
    <cellStyle name="Percent 3 4 3 2 2" xfId="34328"/>
    <cellStyle name="Percent 3 4 3 2 2 2" xfId="34329"/>
    <cellStyle name="Percent 3 4 3 2 2 2 2" xfId="34330"/>
    <cellStyle name="Percent 3 4 3 2 2 2 2 2" xfId="34331"/>
    <cellStyle name="Percent 3 4 3 2 2 2 2 3" xfId="34332"/>
    <cellStyle name="Percent 3 4 3 2 2 2 3" xfId="34333"/>
    <cellStyle name="Percent 3 4 3 2 2 2 3 2" xfId="34334"/>
    <cellStyle name="Percent 3 4 3 2 2 2 4" xfId="34335"/>
    <cellStyle name="Percent 3 4 3 2 2 3" xfId="34336"/>
    <cellStyle name="Percent 3 4 3 2 2 3 2" xfId="34337"/>
    <cellStyle name="Percent 3 4 3 2 2 3 2 2" xfId="34338"/>
    <cellStyle name="Percent 3 4 3 2 2 3 3" xfId="34339"/>
    <cellStyle name="Percent 3 4 3 2 2 4" xfId="34340"/>
    <cellStyle name="Percent 3 4 3 2 2 4 2" xfId="34341"/>
    <cellStyle name="Percent 3 4 3 2 2 4 3" xfId="34342"/>
    <cellStyle name="Percent 3 4 3 2 2 5" xfId="34343"/>
    <cellStyle name="Percent 3 4 3 2 2 5 2" xfId="34344"/>
    <cellStyle name="Percent 3 4 3 2 2 6" xfId="34345"/>
    <cellStyle name="Percent 3 4 3 2 2 6 2" xfId="37505"/>
    <cellStyle name="Percent 3 4 3 2 2 7" xfId="34346"/>
    <cellStyle name="Percent 3 4 3 2 3" xfId="34347"/>
    <cellStyle name="Percent 3 4 3 2 3 2" xfId="34348"/>
    <cellStyle name="Percent 3 4 3 2 3 2 2" xfId="34349"/>
    <cellStyle name="Percent 3 4 3 2 3 2 2 2" xfId="34350"/>
    <cellStyle name="Percent 3 4 3 2 3 2 3" xfId="34351"/>
    <cellStyle name="Percent 3 4 3 2 3 3" xfId="34352"/>
    <cellStyle name="Percent 3 4 3 2 3 3 2" xfId="34353"/>
    <cellStyle name="Percent 3 4 3 2 3 4" xfId="34354"/>
    <cellStyle name="Percent 3 4 3 2 4" xfId="34355"/>
    <cellStyle name="Percent 3 4 3 2 4 2" xfId="34356"/>
    <cellStyle name="Percent 3 4 3 2 4 2 2" xfId="34357"/>
    <cellStyle name="Percent 3 4 3 2 4 3" xfId="34358"/>
    <cellStyle name="Percent 3 4 3 2 5" xfId="34359"/>
    <cellStyle name="Percent 3 4 3 2 5 2" xfId="34360"/>
    <cellStyle name="Percent 3 4 3 2 5 2 2" xfId="34361"/>
    <cellStyle name="Percent 3 4 3 2 5 3" xfId="34362"/>
    <cellStyle name="Percent 3 4 3 2 6" xfId="34363"/>
    <cellStyle name="Percent 3 4 3 2 6 2" xfId="34364"/>
    <cellStyle name="Percent 3 4 3 2 7" xfId="34365"/>
    <cellStyle name="Percent 3 4 3 2 7 2" xfId="37506"/>
    <cellStyle name="Percent 3 4 3 2 8" xfId="34366"/>
    <cellStyle name="Percent 3 4 3 3" xfId="34367"/>
    <cellStyle name="Percent 3 4 3 3 2" xfId="34368"/>
    <cellStyle name="Percent 3 4 3 3 2 2" xfId="34369"/>
    <cellStyle name="Percent 3 4 3 3 2 2 2" xfId="34370"/>
    <cellStyle name="Percent 3 4 3 3 2 2 3" xfId="34371"/>
    <cellStyle name="Percent 3 4 3 3 2 3" xfId="34372"/>
    <cellStyle name="Percent 3 4 3 3 2 3 2" xfId="34373"/>
    <cellStyle name="Percent 3 4 3 3 2 4" xfId="34374"/>
    <cellStyle name="Percent 3 4 3 3 3" xfId="34375"/>
    <cellStyle name="Percent 3 4 3 3 3 2" xfId="34376"/>
    <cellStyle name="Percent 3 4 3 3 3 2 2" xfId="34377"/>
    <cellStyle name="Percent 3 4 3 3 3 3" xfId="34378"/>
    <cellStyle name="Percent 3 4 3 3 4" xfId="34379"/>
    <cellStyle name="Percent 3 4 3 3 4 2" xfId="34380"/>
    <cellStyle name="Percent 3 4 3 3 4 3" xfId="34381"/>
    <cellStyle name="Percent 3 4 3 3 5" xfId="34382"/>
    <cellStyle name="Percent 3 4 3 3 5 2" xfId="34383"/>
    <cellStyle name="Percent 3 4 3 3 6" xfId="34384"/>
    <cellStyle name="Percent 3 4 3 3 6 2" xfId="37507"/>
    <cellStyle name="Percent 3 4 3 3 7" xfId="34385"/>
    <cellStyle name="Percent 3 4 3 4" xfId="34386"/>
    <cellStyle name="Percent 3 4 3 4 2" xfId="34387"/>
    <cellStyle name="Percent 3 4 3 4 2 2" xfId="34388"/>
    <cellStyle name="Percent 3 4 3 4 2 2 2" xfId="34389"/>
    <cellStyle name="Percent 3 4 3 4 2 3" xfId="34390"/>
    <cellStyle name="Percent 3 4 3 4 3" xfId="34391"/>
    <cellStyle name="Percent 3 4 3 4 3 2" xfId="34392"/>
    <cellStyle name="Percent 3 4 3 4 4" xfId="34393"/>
    <cellStyle name="Percent 3 4 3 5" xfId="34394"/>
    <cellStyle name="Percent 3 4 3 5 2" xfId="34395"/>
    <cellStyle name="Percent 3 4 3 5 2 2" xfId="34396"/>
    <cellStyle name="Percent 3 4 3 5 3" xfId="34397"/>
    <cellStyle name="Percent 3 4 3 6" xfId="34398"/>
    <cellStyle name="Percent 3 4 3 6 2" xfId="34399"/>
    <cellStyle name="Percent 3 4 3 6 2 2" xfId="34400"/>
    <cellStyle name="Percent 3 4 3 6 3" xfId="34401"/>
    <cellStyle name="Percent 3 4 3 7" xfId="34402"/>
    <cellStyle name="Percent 3 4 3 7 2" xfId="34403"/>
    <cellStyle name="Percent 3 4 3 8" xfId="34404"/>
    <cellStyle name="Percent 3 4 3 8 2" xfId="37508"/>
    <cellStyle name="Percent 3 4 3 9" xfId="34405"/>
    <cellStyle name="Percent 3 4 4" xfId="34406"/>
    <cellStyle name="Percent 3 4 4 2" xfId="34407"/>
    <cellStyle name="Percent 3 4 4 2 2" xfId="34408"/>
    <cellStyle name="Percent 3 4 4 2 2 2" xfId="34409"/>
    <cellStyle name="Percent 3 4 4 2 2 2 2" xfId="34410"/>
    <cellStyle name="Percent 3 4 4 2 2 2 2 2" xfId="34411"/>
    <cellStyle name="Percent 3 4 4 2 2 2 2 3" xfId="34412"/>
    <cellStyle name="Percent 3 4 4 2 2 2 3" xfId="34413"/>
    <cellStyle name="Percent 3 4 4 2 2 2 3 2" xfId="34414"/>
    <cellStyle name="Percent 3 4 4 2 2 2 4" xfId="34415"/>
    <cellStyle name="Percent 3 4 4 2 2 3" xfId="34416"/>
    <cellStyle name="Percent 3 4 4 2 2 3 2" xfId="34417"/>
    <cellStyle name="Percent 3 4 4 2 2 3 2 2" xfId="34418"/>
    <cellStyle name="Percent 3 4 4 2 2 3 3" xfId="34419"/>
    <cellStyle name="Percent 3 4 4 2 2 4" xfId="34420"/>
    <cellStyle name="Percent 3 4 4 2 2 4 2" xfId="34421"/>
    <cellStyle name="Percent 3 4 4 2 2 4 3" xfId="34422"/>
    <cellStyle name="Percent 3 4 4 2 2 5" xfId="34423"/>
    <cellStyle name="Percent 3 4 4 2 2 5 2" xfId="34424"/>
    <cellStyle name="Percent 3 4 4 2 2 6" xfId="34425"/>
    <cellStyle name="Percent 3 4 4 2 2 6 2" xfId="37509"/>
    <cellStyle name="Percent 3 4 4 2 2 7" xfId="34426"/>
    <cellStyle name="Percent 3 4 4 2 3" xfId="34427"/>
    <cellStyle name="Percent 3 4 4 2 3 2" xfId="34428"/>
    <cellStyle name="Percent 3 4 4 2 3 2 2" xfId="34429"/>
    <cellStyle name="Percent 3 4 4 2 3 2 2 2" xfId="34430"/>
    <cellStyle name="Percent 3 4 4 2 3 2 3" xfId="34431"/>
    <cellStyle name="Percent 3 4 4 2 3 3" xfId="34432"/>
    <cellStyle name="Percent 3 4 4 2 3 3 2" xfId="34433"/>
    <cellStyle name="Percent 3 4 4 2 3 4" xfId="34434"/>
    <cellStyle name="Percent 3 4 4 2 4" xfId="34435"/>
    <cellStyle name="Percent 3 4 4 2 4 2" xfId="34436"/>
    <cellStyle name="Percent 3 4 4 2 4 2 2" xfId="34437"/>
    <cellStyle name="Percent 3 4 4 2 4 3" xfId="34438"/>
    <cellStyle name="Percent 3 4 4 2 5" xfId="34439"/>
    <cellStyle name="Percent 3 4 4 2 5 2" xfId="34440"/>
    <cellStyle name="Percent 3 4 4 2 5 2 2" xfId="34441"/>
    <cellStyle name="Percent 3 4 4 2 5 3" xfId="34442"/>
    <cellStyle name="Percent 3 4 4 2 6" xfId="34443"/>
    <cellStyle name="Percent 3 4 4 2 6 2" xfId="34444"/>
    <cellStyle name="Percent 3 4 4 2 7" xfId="34445"/>
    <cellStyle name="Percent 3 4 4 2 7 2" xfId="37510"/>
    <cellStyle name="Percent 3 4 4 2 8" xfId="34446"/>
    <cellStyle name="Percent 3 4 4 3" xfId="34447"/>
    <cellStyle name="Percent 3 4 4 3 2" xfId="34448"/>
    <cellStyle name="Percent 3 4 4 3 2 2" xfId="34449"/>
    <cellStyle name="Percent 3 4 4 3 2 2 2" xfId="34450"/>
    <cellStyle name="Percent 3 4 4 3 2 2 3" xfId="34451"/>
    <cellStyle name="Percent 3 4 4 3 2 3" xfId="34452"/>
    <cellStyle name="Percent 3 4 4 3 2 3 2" xfId="34453"/>
    <cellStyle name="Percent 3 4 4 3 2 4" xfId="34454"/>
    <cellStyle name="Percent 3 4 4 3 3" xfId="34455"/>
    <cellStyle name="Percent 3 4 4 3 3 2" xfId="34456"/>
    <cellStyle name="Percent 3 4 4 3 3 2 2" xfId="34457"/>
    <cellStyle name="Percent 3 4 4 3 3 3" xfId="34458"/>
    <cellStyle name="Percent 3 4 4 3 4" xfId="34459"/>
    <cellStyle name="Percent 3 4 4 3 4 2" xfId="34460"/>
    <cellStyle name="Percent 3 4 4 3 4 3" xfId="34461"/>
    <cellStyle name="Percent 3 4 4 3 5" xfId="34462"/>
    <cellStyle name="Percent 3 4 4 3 5 2" xfId="34463"/>
    <cellStyle name="Percent 3 4 4 3 6" xfId="34464"/>
    <cellStyle name="Percent 3 4 4 3 6 2" xfId="37511"/>
    <cellStyle name="Percent 3 4 4 3 7" xfId="34465"/>
    <cellStyle name="Percent 3 4 4 4" xfId="34466"/>
    <cellStyle name="Percent 3 4 4 4 2" xfId="34467"/>
    <cellStyle name="Percent 3 4 4 4 2 2" xfId="34468"/>
    <cellStyle name="Percent 3 4 4 4 2 2 2" xfId="34469"/>
    <cellStyle name="Percent 3 4 4 4 2 3" xfId="34470"/>
    <cellStyle name="Percent 3 4 4 4 3" xfId="34471"/>
    <cellStyle name="Percent 3 4 4 4 3 2" xfId="34472"/>
    <cellStyle name="Percent 3 4 4 4 4" xfId="34473"/>
    <cellStyle name="Percent 3 4 4 5" xfId="34474"/>
    <cellStyle name="Percent 3 4 4 5 2" xfId="34475"/>
    <cellStyle name="Percent 3 4 4 5 2 2" xfId="34476"/>
    <cellStyle name="Percent 3 4 4 5 3" xfId="34477"/>
    <cellStyle name="Percent 3 4 4 6" xfId="34478"/>
    <cellStyle name="Percent 3 4 4 6 2" xfId="34479"/>
    <cellStyle name="Percent 3 4 4 6 2 2" xfId="34480"/>
    <cellStyle name="Percent 3 4 4 6 3" xfId="34481"/>
    <cellStyle name="Percent 3 4 4 7" xfId="34482"/>
    <cellStyle name="Percent 3 4 4 7 2" xfId="34483"/>
    <cellStyle name="Percent 3 4 4 8" xfId="34484"/>
    <cellStyle name="Percent 3 4 4 8 2" xfId="37512"/>
    <cellStyle name="Percent 3 4 4 9" xfId="34485"/>
    <cellStyle name="Percent 3 4 5" xfId="34486"/>
    <cellStyle name="Percent 3 4 5 2" xfId="34487"/>
    <cellStyle name="Percent 3 4 5 2 2" xfId="34488"/>
    <cellStyle name="Percent 3 4 5 2 2 2" xfId="34489"/>
    <cellStyle name="Percent 3 4 5 2 2 2 2" xfId="34490"/>
    <cellStyle name="Percent 3 4 5 2 2 2 3" xfId="34491"/>
    <cellStyle name="Percent 3 4 5 2 2 3" xfId="34492"/>
    <cellStyle name="Percent 3 4 5 2 2 3 2" xfId="34493"/>
    <cellStyle name="Percent 3 4 5 2 2 4" xfId="34494"/>
    <cellStyle name="Percent 3 4 5 2 3" xfId="34495"/>
    <cellStyle name="Percent 3 4 5 2 3 2" xfId="34496"/>
    <cellStyle name="Percent 3 4 5 2 3 2 2" xfId="34497"/>
    <cellStyle name="Percent 3 4 5 2 3 3" xfId="34498"/>
    <cellStyle name="Percent 3 4 5 2 4" xfId="34499"/>
    <cellStyle name="Percent 3 4 5 2 4 2" xfId="34500"/>
    <cellStyle name="Percent 3 4 5 2 4 3" xfId="34501"/>
    <cellStyle name="Percent 3 4 5 2 5" xfId="34502"/>
    <cellStyle name="Percent 3 4 5 2 5 2" xfId="34503"/>
    <cellStyle name="Percent 3 4 5 2 6" xfId="34504"/>
    <cellStyle name="Percent 3 4 5 2 6 2" xfId="37513"/>
    <cellStyle name="Percent 3 4 5 2 7" xfId="34505"/>
    <cellStyle name="Percent 3 4 5 3" xfId="34506"/>
    <cellStyle name="Percent 3 4 5 3 2" xfId="34507"/>
    <cellStyle name="Percent 3 4 5 3 2 2" xfId="34508"/>
    <cellStyle name="Percent 3 4 5 3 2 2 2" xfId="34509"/>
    <cellStyle name="Percent 3 4 5 3 2 3" xfId="34510"/>
    <cellStyle name="Percent 3 4 5 3 3" xfId="34511"/>
    <cellStyle name="Percent 3 4 5 3 3 2" xfId="34512"/>
    <cellStyle name="Percent 3 4 5 3 4" xfId="34513"/>
    <cellStyle name="Percent 3 4 5 4" xfId="34514"/>
    <cellStyle name="Percent 3 4 5 4 2" xfId="34515"/>
    <cellStyle name="Percent 3 4 5 4 2 2" xfId="34516"/>
    <cellStyle name="Percent 3 4 5 4 3" xfId="34517"/>
    <cellStyle name="Percent 3 4 5 5" xfId="34518"/>
    <cellStyle name="Percent 3 4 5 5 2" xfId="34519"/>
    <cellStyle name="Percent 3 4 5 5 2 2" xfId="34520"/>
    <cellStyle name="Percent 3 4 5 5 3" xfId="34521"/>
    <cellStyle name="Percent 3 4 5 6" xfId="34522"/>
    <cellStyle name="Percent 3 4 5 6 2" xfId="34523"/>
    <cellStyle name="Percent 3 4 5 7" xfId="34524"/>
    <cellStyle name="Percent 3 4 5 7 2" xfId="37514"/>
    <cellStyle name="Percent 3 4 5 8" xfId="34525"/>
    <cellStyle name="Percent 3 4 6" xfId="34526"/>
    <cellStyle name="Percent 3 4 6 2" xfId="34527"/>
    <cellStyle name="Percent 3 4 6 2 2" xfId="34528"/>
    <cellStyle name="Percent 3 4 6 2 2 2" xfId="34529"/>
    <cellStyle name="Percent 3 4 6 2 2 2 2" xfId="34530"/>
    <cellStyle name="Percent 3 4 6 2 2 2 3" xfId="34531"/>
    <cellStyle name="Percent 3 4 6 2 2 3" xfId="34532"/>
    <cellStyle name="Percent 3 4 6 2 2 3 2" xfId="34533"/>
    <cellStyle name="Percent 3 4 6 2 2 4" xfId="34534"/>
    <cellStyle name="Percent 3 4 6 2 3" xfId="34535"/>
    <cellStyle name="Percent 3 4 6 2 3 2" xfId="34536"/>
    <cellStyle name="Percent 3 4 6 2 3 2 2" xfId="34537"/>
    <cellStyle name="Percent 3 4 6 2 3 3" xfId="34538"/>
    <cellStyle name="Percent 3 4 6 2 4" xfId="34539"/>
    <cellStyle name="Percent 3 4 6 2 4 2" xfId="34540"/>
    <cellStyle name="Percent 3 4 6 2 4 3" xfId="34541"/>
    <cellStyle name="Percent 3 4 6 2 5" xfId="34542"/>
    <cellStyle name="Percent 3 4 6 2 5 2" xfId="34543"/>
    <cellStyle name="Percent 3 4 6 2 6" xfId="34544"/>
    <cellStyle name="Percent 3 4 6 2 6 2" xfId="37515"/>
    <cellStyle name="Percent 3 4 6 2 7" xfId="34545"/>
    <cellStyle name="Percent 3 4 6 3" xfId="34546"/>
    <cellStyle name="Percent 3 4 6 3 2" xfId="34547"/>
    <cellStyle name="Percent 3 4 6 3 2 2" xfId="34548"/>
    <cellStyle name="Percent 3 4 6 3 2 2 2" xfId="34549"/>
    <cellStyle name="Percent 3 4 6 3 2 3" xfId="34550"/>
    <cellStyle name="Percent 3 4 6 3 3" xfId="34551"/>
    <cellStyle name="Percent 3 4 6 3 3 2" xfId="34552"/>
    <cellStyle name="Percent 3 4 6 3 4" xfId="34553"/>
    <cellStyle name="Percent 3 4 6 4" xfId="34554"/>
    <cellStyle name="Percent 3 4 6 4 2" xfId="34555"/>
    <cellStyle name="Percent 3 4 6 4 2 2" xfId="34556"/>
    <cellStyle name="Percent 3 4 6 4 3" xfId="34557"/>
    <cellStyle name="Percent 3 4 6 5" xfId="34558"/>
    <cellStyle name="Percent 3 4 6 5 2" xfId="34559"/>
    <cellStyle name="Percent 3 4 6 5 2 2" xfId="34560"/>
    <cellStyle name="Percent 3 4 6 5 3" xfId="34561"/>
    <cellStyle name="Percent 3 4 6 6" xfId="34562"/>
    <cellStyle name="Percent 3 4 6 6 2" xfId="34563"/>
    <cellStyle name="Percent 3 4 6 7" xfId="34564"/>
    <cellStyle name="Percent 3 4 6 7 2" xfId="37516"/>
    <cellStyle name="Percent 3 4 6 8" xfId="34565"/>
    <cellStyle name="Percent 3 4 7" xfId="34566"/>
    <cellStyle name="Percent 3 4 7 2" xfId="34567"/>
    <cellStyle name="Percent 3 4 7 2 2" xfId="34568"/>
    <cellStyle name="Percent 3 4 7 2 2 2" xfId="34569"/>
    <cellStyle name="Percent 3 4 7 2 2 2 2" xfId="34570"/>
    <cellStyle name="Percent 3 4 7 2 2 2 3" xfId="34571"/>
    <cellStyle name="Percent 3 4 7 2 2 3" xfId="34572"/>
    <cellStyle name="Percent 3 4 7 2 2 3 2" xfId="34573"/>
    <cellStyle name="Percent 3 4 7 2 2 4" xfId="34574"/>
    <cellStyle name="Percent 3 4 7 2 3" xfId="34575"/>
    <cellStyle name="Percent 3 4 7 2 3 2" xfId="34576"/>
    <cellStyle name="Percent 3 4 7 2 3 2 2" xfId="34577"/>
    <cellStyle name="Percent 3 4 7 2 3 3" xfId="34578"/>
    <cellStyle name="Percent 3 4 7 2 4" xfId="34579"/>
    <cellStyle name="Percent 3 4 7 2 4 2" xfId="34580"/>
    <cellStyle name="Percent 3 4 7 2 4 3" xfId="34581"/>
    <cellStyle name="Percent 3 4 7 2 5" xfId="34582"/>
    <cellStyle name="Percent 3 4 7 2 5 2" xfId="34583"/>
    <cellStyle name="Percent 3 4 7 2 6" xfId="34584"/>
    <cellStyle name="Percent 3 4 7 2 6 2" xfId="37517"/>
    <cellStyle name="Percent 3 4 7 2 7" xfId="34585"/>
    <cellStyle name="Percent 3 4 7 3" xfId="34586"/>
    <cellStyle name="Percent 3 4 7 3 2" xfId="34587"/>
    <cellStyle name="Percent 3 4 7 3 2 2" xfId="34588"/>
    <cellStyle name="Percent 3 4 7 3 2 2 2" xfId="34589"/>
    <cellStyle name="Percent 3 4 7 3 2 3" xfId="34590"/>
    <cellStyle name="Percent 3 4 7 3 3" xfId="34591"/>
    <cellStyle name="Percent 3 4 7 3 3 2" xfId="34592"/>
    <cellStyle name="Percent 3 4 7 3 4" xfId="34593"/>
    <cellStyle name="Percent 3 4 7 4" xfId="34594"/>
    <cellStyle name="Percent 3 4 7 4 2" xfId="34595"/>
    <cellStyle name="Percent 3 4 7 4 2 2" xfId="34596"/>
    <cellStyle name="Percent 3 4 7 4 3" xfId="34597"/>
    <cellStyle name="Percent 3 4 7 5" xfId="34598"/>
    <cellStyle name="Percent 3 4 7 5 2" xfId="34599"/>
    <cellStyle name="Percent 3 4 7 5 2 2" xfId="34600"/>
    <cellStyle name="Percent 3 4 7 5 3" xfId="34601"/>
    <cellStyle name="Percent 3 4 7 6" xfId="34602"/>
    <cellStyle name="Percent 3 4 7 6 2" xfId="34603"/>
    <cellStyle name="Percent 3 4 7 7" xfId="34604"/>
    <cellStyle name="Percent 3 4 7 7 2" xfId="37518"/>
    <cellStyle name="Percent 3 4 7 8" xfId="34605"/>
    <cellStyle name="Percent 3 4 8" xfId="34606"/>
    <cellStyle name="Percent 3 4 8 2" xfId="34607"/>
    <cellStyle name="Percent 3 4 8 2 2" xfId="34608"/>
    <cellStyle name="Percent 3 4 8 2 2 2" xfId="34609"/>
    <cellStyle name="Percent 3 4 8 2 2 3" xfId="34610"/>
    <cellStyle name="Percent 3 4 8 2 3" xfId="34611"/>
    <cellStyle name="Percent 3 4 8 2 3 2" xfId="34612"/>
    <cellStyle name="Percent 3 4 8 2 4" xfId="34613"/>
    <cellStyle name="Percent 3 4 8 3" xfId="34614"/>
    <cellStyle name="Percent 3 4 8 3 2" xfId="34615"/>
    <cellStyle name="Percent 3 4 8 3 2 2" xfId="34616"/>
    <cellStyle name="Percent 3 4 8 3 3" xfId="34617"/>
    <cellStyle name="Percent 3 4 8 4" xfId="34618"/>
    <cellStyle name="Percent 3 4 8 4 2" xfId="34619"/>
    <cellStyle name="Percent 3 4 8 4 3" xfId="34620"/>
    <cellStyle name="Percent 3 4 8 5" xfId="34621"/>
    <cellStyle name="Percent 3 4 8 5 2" xfId="34622"/>
    <cellStyle name="Percent 3 4 8 6" xfId="34623"/>
    <cellStyle name="Percent 3 4 8 6 2" xfId="37519"/>
    <cellStyle name="Percent 3 4 8 7" xfId="34624"/>
    <cellStyle name="Percent 3 4 9" xfId="34625"/>
    <cellStyle name="Percent 3 4 9 2" xfId="34626"/>
    <cellStyle name="Percent 3 4 9 2 2" xfId="34627"/>
    <cellStyle name="Percent 3 4 9 2 2 2" xfId="34628"/>
    <cellStyle name="Percent 3 4 9 2 3" xfId="34629"/>
    <cellStyle name="Percent 3 4 9 3" xfId="34630"/>
    <cellStyle name="Percent 3 4 9 3 2" xfId="34631"/>
    <cellStyle name="Percent 3 4 9 4" xfId="34632"/>
    <cellStyle name="Percent 3 5" xfId="34633"/>
    <cellStyle name="Percent 3 5 10" xfId="34634"/>
    <cellStyle name="Percent 3 5 10 2" xfId="34635"/>
    <cellStyle name="Percent 3 5 10 2 2" xfId="34636"/>
    <cellStyle name="Percent 3 5 10 3" xfId="34637"/>
    <cellStyle name="Percent 3 5 11" xfId="34638"/>
    <cellStyle name="Percent 3 5 11 2" xfId="34639"/>
    <cellStyle name="Percent 3 5 11 2 2" xfId="34640"/>
    <cellStyle name="Percent 3 5 11 3" xfId="34641"/>
    <cellStyle name="Percent 3 5 12" xfId="34642"/>
    <cellStyle name="Percent 3 5 12 2" xfId="34643"/>
    <cellStyle name="Percent 3 5 13" xfId="34644"/>
    <cellStyle name="Percent 3 5 13 2" xfId="37520"/>
    <cellStyle name="Percent 3 5 14" xfId="34645"/>
    <cellStyle name="Percent 3 5 2" xfId="34646"/>
    <cellStyle name="Percent 3 5 2 10" xfId="34647"/>
    <cellStyle name="Percent 3 5 2 2" xfId="34648"/>
    <cellStyle name="Percent 3 5 2 2 2" xfId="34649"/>
    <cellStyle name="Percent 3 5 2 2 2 2" xfId="34650"/>
    <cellStyle name="Percent 3 5 2 2 2 2 2" xfId="34651"/>
    <cellStyle name="Percent 3 5 2 2 2 2 2 2" xfId="34652"/>
    <cellStyle name="Percent 3 5 2 2 2 2 2 2 2" xfId="34653"/>
    <cellStyle name="Percent 3 5 2 2 2 2 2 2 3" xfId="34654"/>
    <cellStyle name="Percent 3 5 2 2 2 2 2 3" xfId="34655"/>
    <cellStyle name="Percent 3 5 2 2 2 2 2 3 2" xfId="34656"/>
    <cellStyle name="Percent 3 5 2 2 2 2 2 4" xfId="34657"/>
    <cellStyle name="Percent 3 5 2 2 2 2 3" xfId="34658"/>
    <cellStyle name="Percent 3 5 2 2 2 2 3 2" xfId="34659"/>
    <cellStyle name="Percent 3 5 2 2 2 2 3 2 2" xfId="34660"/>
    <cellStyle name="Percent 3 5 2 2 2 2 3 3" xfId="34661"/>
    <cellStyle name="Percent 3 5 2 2 2 2 4" xfId="34662"/>
    <cellStyle name="Percent 3 5 2 2 2 2 4 2" xfId="34663"/>
    <cellStyle name="Percent 3 5 2 2 2 2 4 3" xfId="34664"/>
    <cellStyle name="Percent 3 5 2 2 2 2 5" xfId="34665"/>
    <cellStyle name="Percent 3 5 2 2 2 2 5 2" xfId="34666"/>
    <cellStyle name="Percent 3 5 2 2 2 2 6" xfId="34667"/>
    <cellStyle name="Percent 3 5 2 2 2 2 6 2" xfId="37521"/>
    <cellStyle name="Percent 3 5 2 2 2 2 7" xfId="34668"/>
    <cellStyle name="Percent 3 5 2 2 2 3" xfId="34669"/>
    <cellStyle name="Percent 3 5 2 2 2 3 2" xfId="34670"/>
    <cellStyle name="Percent 3 5 2 2 2 3 2 2" xfId="34671"/>
    <cellStyle name="Percent 3 5 2 2 2 3 2 2 2" xfId="34672"/>
    <cellStyle name="Percent 3 5 2 2 2 3 2 3" xfId="34673"/>
    <cellStyle name="Percent 3 5 2 2 2 3 3" xfId="34674"/>
    <cellStyle name="Percent 3 5 2 2 2 3 3 2" xfId="34675"/>
    <cellStyle name="Percent 3 5 2 2 2 3 4" xfId="34676"/>
    <cellStyle name="Percent 3 5 2 2 2 4" xfId="34677"/>
    <cellStyle name="Percent 3 5 2 2 2 4 2" xfId="34678"/>
    <cellStyle name="Percent 3 5 2 2 2 4 2 2" xfId="34679"/>
    <cellStyle name="Percent 3 5 2 2 2 4 3" xfId="34680"/>
    <cellStyle name="Percent 3 5 2 2 2 5" xfId="34681"/>
    <cellStyle name="Percent 3 5 2 2 2 5 2" xfId="34682"/>
    <cellStyle name="Percent 3 5 2 2 2 5 2 2" xfId="34683"/>
    <cellStyle name="Percent 3 5 2 2 2 5 3" xfId="34684"/>
    <cellStyle name="Percent 3 5 2 2 2 6" xfId="34685"/>
    <cellStyle name="Percent 3 5 2 2 2 6 2" xfId="34686"/>
    <cellStyle name="Percent 3 5 2 2 2 7" xfId="34687"/>
    <cellStyle name="Percent 3 5 2 2 2 7 2" xfId="37522"/>
    <cellStyle name="Percent 3 5 2 2 2 8" xfId="34688"/>
    <cellStyle name="Percent 3 5 2 2 3" xfId="34689"/>
    <cellStyle name="Percent 3 5 2 2 3 2" xfId="34690"/>
    <cellStyle name="Percent 3 5 2 2 3 2 2" xfId="34691"/>
    <cellStyle name="Percent 3 5 2 2 3 2 2 2" xfId="34692"/>
    <cellStyle name="Percent 3 5 2 2 3 2 2 3" xfId="34693"/>
    <cellStyle name="Percent 3 5 2 2 3 2 3" xfId="34694"/>
    <cellStyle name="Percent 3 5 2 2 3 2 3 2" xfId="34695"/>
    <cellStyle name="Percent 3 5 2 2 3 2 4" xfId="34696"/>
    <cellStyle name="Percent 3 5 2 2 3 3" xfId="34697"/>
    <cellStyle name="Percent 3 5 2 2 3 3 2" xfId="34698"/>
    <cellStyle name="Percent 3 5 2 2 3 3 2 2" xfId="34699"/>
    <cellStyle name="Percent 3 5 2 2 3 3 3" xfId="34700"/>
    <cellStyle name="Percent 3 5 2 2 3 4" xfId="34701"/>
    <cellStyle name="Percent 3 5 2 2 3 4 2" xfId="34702"/>
    <cellStyle name="Percent 3 5 2 2 3 4 3" xfId="34703"/>
    <cellStyle name="Percent 3 5 2 2 3 5" xfId="34704"/>
    <cellStyle name="Percent 3 5 2 2 3 5 2" xfId="34705"/>
    <cellStyle name="Percent 3 5 2 2 3 6" xfId="34706"/>
    <cellStyle name="Percent 3 5 2 2 3 6 2" xfId="37523"/>
    <cellStyle name="Percent 3 5 2 2 3 7" xfId="34707"/>
    <cellStyle name="Percent 3 5 2 2 4" xfId="34708"/>
    <cellStyle name="Percent 3 5 2 2 4 2" xfId="34709"/>
    <cellStyle name="Percent 3 5 2 2 4 2 2" xfId="34710"/>
    <cellStyle name="Percent 3 5 2 2 4 2 2 2" xfId="34711"/>
    <cellStyle name="Percent 3 5 2 2 4 2 3" xfId="34712"/>
    <cellStyle name="Percent 3 5 2 2 4 3" xfId="34713"/>
    <cellStyle name="Percent 3 5 2 2 4 3 2" xfId="34714"/>
    <cellStyle name="Percent 3 5 2 2 4 4" xfId="34715"/>
    <cellStyle name="Percent 3 5 2 2 5" xfId="34716"/>
    <cellStyle name="Percent 3 5 2 2 5 2" xfId="34717"/>
    <cellStyle name="Percent 3 5 2 2 5 2 2" xfId="34718"/>
    <cellStyle name="Percent 3 5 2 2 5 3" xfId="34719"/>
    <cellStyle name="Percent 3 5 2 2 6" xfId="34720"/>
    <cellStyle name="Percent 3 5 2 2 6 2" xfId="34721"/>
    <cellStyle name="Percent 3 5 2 2 6 2 2" xfId="34722"/>
    <cellStyle name="Percent 3 5 2 2 6 3" xfId="34723"/>
    <cellStyle name="Percent 3 5 2 2 7" xfId="34724"/>
    <cellStyle name="Percent 3 5 2 2 7 2" xfId="34725"/>
    <cellStyle name="Percent 3 5 2 2 8" xfId="34726"/>
    <cellStyle name="Percent 3 5 2 2 8 2" xfId="37524"/>
    <cellStyle name="Percent 3 5 2 2 9" xfId="34727"/>
    <cellStyle name="Percent 3 5 2 3" xfId="34728"/>
    <cellStyle name="Percent 3 5 2 3 2" xfId="34729"/>
    <cellStyle name="Percent 3 5 2 3 2 2" xfId="34730"/>
    <cellStyle name="Percent 3 5 2 3 2 2 2" xfId="34731"/>
    <cellStyle name="Percent 3 5 2 3 2 2 2 2" xfId="34732"/>
    <cellStyle name="Percent 3 5 2 3 2 2 2 3" xfId="34733"/>
    <cellStyle name="Percent 3 5 2 3 2 2 3" xfId="34734"/>
    <cellStyle name="Percent 3 5 2 3 2 2 3 2" xfId="34735"/>
    <cellStyle name="Percent 3 5 2 3 2 2 4" xfId="34736"/>
    <cellStyle name="Percent 3 5 2 3 2 3" xfId="34737"/>
    <cellStyle name="Percent 3 5 2 3 2 3 2" xfId="34738"/>
    <cellStyle name="Percent 3 5 2 3 2 3 2 2" xfId="34739"/>
    <cellStyle name="Percent 3 5 2 3 2 3 3" xfId="34740"/>
    <cellStyle name="Percent 3 5 2 3 2 4" xfId="34741"/>
    <cellStyle name="Percent 3 5 2 3 2 4 2" xfId="34742"/>
    <cellStyle name="Percent 3 5 2 3 2 4 3" xfId="34743"/>
    <cellStyle name="Percent 3 5 2 3 2 5" xfId="34744"/>
    <cellStyle name="Percent 3 5 2 3 2 5 2" xfId="34745"/>
    <cellStyle name="Percent 3 5 2 3 2 6" xfId="34746"/>
    <cellStyle name="Percent 3 5 2 3 2 6 2" xfId="37525"/>
    <cellStyle name="Percent 3 5 2 3 2 7" xfId="34747"/>
    <cellStyle name="Percent 3 5 2 3 3" xfId="34748"/>
    <cellStyle name="Percent 3 5 2 3 3 2" xfId="34749"/>
    <cellStyle name="Percent 3 5 2 3 3 2 2" xfId="34750"/>
    <cellStyle name="Percent 3 5 2 3 3 2 2 2" xfId="34751"/>
    <cellStyle name="Percent 3 5 2 3 3 2 3" xfId="34752"/>
    <cellStyle name="Percent 3 5 2 3 3 3" xfId="34753"/>
    <cellStyle name="Percent 3 5 2 3 3 3 2" xfId="34754"/>
    <cellStyle name="Percent 3 5 2 3 3 4" xfId="34755"/>
    <cellStyle name="Percent 3 5 2 3 4" xfId="34756"/>
    <cellStyle name="Percent 3 5 2 3 4 2" xfId="34757"/>
    <cellStyle name="Percent 3 5 2 3 4 2 2" xfId="34758"/>
    <cellStyle name="Percent 3 5 2 3 4 3" xfId="34759"/>
    <cellStyle name="Percent 3 5 2 3 5" xfId="34760"/>
    <cellStyle name="Percent 3 5 2 3 5 2" xfId="34761"/>
    <cellStyle name="Percent 3 5 2 3 5 2 2" xfId="34762"/>
    <cellStyle name="Percent 3 5 2 3 5 3" xfId="34763"/>
    <cellStyle name="Percent 3 5 2 3 6" xfId="34764"/>
    <cellStyle name="Percent 3 5 2 3 6 2" xfId="34765"/>
    <cellStyle name="Percent 3 5 2 3 7" xfId="34766"/>
    <cellStyle name="Percent 3 5 2 3 7 2" xfId="37526"/>
    <cellStyle name="Percent 3 5 2 3 8" xfId="34767"/>
    <cellStyle name="Percent 3 5 2 4" xfId="34768"/>
    <cellStyle name="Percent 3 5 2 4 2" xfId="34769"/>
    <cellStyle name="Percent 3 5 2 4 2 2" xfId="34770"/>
    <cellStyle name="Percent 3 5 2 4 2 2 2" xfId="34771"/>
    <cellStyle name="Percent 3 5 2 4 2 2 3" xfId="34772"/>
    <cellStyle name="Percent 3 5 2 4 2 3" xfId="34773"/>
    <cellStyle name="Percent 3 5 2 4 2 3 2" xfId="34774"/>
    <cellStyle name="Percent 3 5 2 4 2 4" xfId="34775"/>
    <cellStyle name="Percent 3 5 2 4 3" xfId="34776"/>
    <cellStyle name="Percent 3 5 2 4 3 2" xfId="34777"/>
    <cellStyle name="Percent 3 5 2 4 3 2 2" xfId="34778"/>
    <cellStyle name="Percent 3 5 2 4 3 3" xfId="34779"/>
    <cellStyle name="Percent 3 5 2 4 4" xfId="34780"/>
    <cellStyle name="Percent 3 5 2 4 4 2" xfId="34781"/>
    <cellStyle name="Percent 3 5 2 4 4 3" xfId="34782"/>
    <cellStyle name="Percent 3 5 2 4 5" xfId="34783"/>
    <cellStyle name="Percent 3 5 2 4 5 2" xfId="34784"/>
    <cellStyle name="Percent 3 5 2 4 6" xfId="34785"/>
    <cellStyle name="Percent 3 5 2 4 6 2" xfId="37527"/>
    <cellStyle name="Percent 3 5 2 4 7" xfId="34786"/>
    <cellStyle name="Percent 3 5 2 5" xfId="34787"/>
    <cellStyle name="Percent 3 5 2 5 2" xfId="34788"/>
    <cellStyle name="Percent 3 5 2 5 2 2" xfId="34789"/>
    <cellStyle name="Percent 3 5 2 5 2 2 2" xfId="34790"/>
    <cellStyle name="Percent 3 5 2 5 2 3" xfId="34791"/>
    <cellStyle name="Percent 3 5 2 5 3" xfId="34792"/>
    <cellStyle name="Percent 3 5 2 5 3 2" xfId="34793"/>
    <cellStyle name="Percent 3 5 2 5 4" xfId="34794"/>
    <cellStyle name="Percent 3 5 2 6" xfId="34795"/>
    <cellStyle name="Percent 3 5 2 6 2" xfId="34796"/>
    <cellStyle name="Percent 3 5 2 6 2 2" xfId="34797"/>
    <cellStyle name="Percent 3 5 2 6 3" xfId="34798"/>
    <cellStyle name="Percent 3 5 2 7" xfId="34799"/>
    <cellStyle name="Percent 3 5 2 7 2" xfId="34800"/>
    <cellStyle name="Percent 3 5 2 7 2 2" xfId="34801"/>
    <cellStyle name="Percent 3 5 2 7 3" xfId="34802"/>
    <cellStyle name="Percent 3 5 2 8" xfId="34803"/>
    <cellStyle name="Percent 3 5 2 8 2" xfId="34804"/>
    <cellStyle name="Percent 3 5 2 9" xfId="34805"/>
    <cellStyle name="Percent 3 5 2 9 2" xfId="37528"/>
    <cellStyle name="Percent 3 5 3" xfId="34806"/>
    <cellStyle name="Percent 3 5 3 2" xfId="34807"/>
    <cellStyle name="Percent 3 5 3 2 2" xfId="34808"/>
    <cellStyle name="Percent 3 5 3 2 2 2" xfId="34809"/>
    <cellStyle name="Percent 3 5 3 2 2 2 2" xfId="34810"/>
    <cellStyle name="Percent 3 5 3 2 2 2 2 2" xfId="34811"/>
    <cellStyle name="Percent 3 5 3 2 2 2 2 3" xfId="34812"/>
    <cellStyle name="Percent 3 5 3 2 2 2 3" xfId="34813"/>
    <cellStyle name="Percent 3 5 3 2 2 2 3 2" xfId="34814"/>
    <cellStyle name="Percent 3 5 3 2 2 2 4" xfId="34815"/>
    <cellStyle name="Percent 3 5 3 2 2 3" xfId="34816"/>
    <cellStyle name="Percent 3 5 3 2 2 3 2" xfId="34817"/>
    <cellStyle name="Percent 3 5 3 2 2 3 2 2" xfId="34818"/>
    <cellStyle name="Percent 3 5 3 2 2 3 3" xfId="34819"/>
    <cellStyle name="Percent 3 5 3 2 2 4" xfId="34820"/>
    <cellStyle name="Percent 3 5 3 2 2 4 2" xfId="34821"/>
    <cellStyle name="Percent 3 5 3 2 2 4 3" xfId="34822"/>
    <cellStyle name="Percent 3 5 3 2 2 5" xfId="34823"/>
    <cellStyle name="Percent 3 5 3 2 2 5 2" xfId="34824"/>
    <cellStyle name="Percent 3 5 3 2 2 6" xfId="34825"/>
    <cellStyle name="Percent 3 5 3 2 2 6 2" xfId="37529"/>
    <cellStyle name="Percent 3 5 3 2 2 7" xfId="34826"/>
    <cellStyle name="Percent 3 5 3 2 3" xfId="34827"/>
    <cellStyle name="Percent 3 5 3 2 3 2" xfId="34828"/>
    <cellStyle name="Percent 3 5 3 2 3 2 2" xfId="34829"/>
    <cellStyle name="Percent 3 5 3 2 3 2 2 2" xfId="34830"/>
    <cellStyle name="Percent 3 5 3 2 3 2 3" xfId="34831"/>
    <cellStyle name="Percent 3 5 3 2 3 3" xfId="34832"/>
    <cellStyle name="Percent 3 5 3 2 3 3 2" xfId="34833"/>
    <cellStyle name="Percent 3 5 3 2 3 4" xfId="34834"/>
    <cellStyle name="Percent 3 5 3 2 4" xfId="34835"/>
    <cellStyle name="Percent 3 5 3 2 4 2" xfId="34836"/>
    <cellStyle name="Percent 3 5 3 2 4 2 2" xfId="34837"/>
    <cellStyle name="Percent 3 5 3 2 4 3" xfId="34838"/>
    <cellStyle name="Percent 3 5 3 2 5" xfId="34839"/>
    <cellStyle name="Percent 3 5 3 2 5 2" xfId="34840"/>
    <cellStyle name="Percent 3 5 3 2 5 2 2" xfId="34841"/>
    <cellStyle name="Percent 3 5 3 2 5 3" xfId="34842"/>
    <cellStyle name="Percent 3 5 3 2 6" xfId="34843"/>
    <cellStyle name="Percent 3 5 3 2 6 2" xfId="34844"/>
    <cellStyle name="Percent 3 5 3 2 7" xfId="34845"/>
    <cellStyle name="Percent 3 5 3 2 7 2" xfId="37530"/>
    <cellStyle name="Percent 3 5 3 2 8" xfId="34846"/>
    <cellStyle name="Percent 3 5 3 3" xfId="34847"/>
    <cellStyle name="Percent 3 5 3 3 2" xfId="34848"/>
    <cellStyle name="Percent 3 5 3 3 2 2" xfId="34849"/>
    <cellStyle name="Percent 3 5 3 3 2 2 2" xfId="34850"/>
    <cellStyle name="Percent 3 5 3 3 2 2 3" xfId="34851"/>
    <cellStyle name="Percent 3 5 3 3 2 3" xfId="34852"/>
    <cellStyle name="Percent 3 5 3 3 2 3 2" xfId="34853"/>
    <cellStyle name="Percent 3 5 3 3 2 4" xfId="34854"/>
    <cellStyle name="Percent 3 5 3 3 3" xfId="34855"/>
    <cellStyle name="Percent 3 5 3 3 3 2" xfId="34856"/>
    <cellStyle name="Percent 3 5 3 3 3 2 2" xfId="34857"/>
    <cellStyle name="Percent 3 5 3 3 3 3" xfId="34858"/>
    <cellStyle name="Percent 3 5 3 3 4" xfId="34859"/>
    <cellStyle name="Percent 3 5 3 3 4 2" xfId="34860"/>
    <cellStyle name="Percent 3 5 3 3 4 3" xfId="34861"/>
    <cellStyle name="Percent 3 5 3 3 5" xfId="34862"/>
    <cellStyle name="Percent 3 5 3 3 5 2" xfId="34863"/>
    <cellStyle name="Percent 3 5 3 3 6" xfId="34864"/>
    <cellStyle name="Percent 3 5 3 3 6 2" xfId="37531"/>
    <cellStyle name="Percent 3 5 3 3 7" xfId="34865"/>
    <cellStyle name="Percent 3 5 3 4" xfId="34866"/>
    <cellStyle name="Percent 3 5 3 4 2" xfId="34867"/>
    <cellStyle name="Percent 3 5 3 4 2 2" xfId="34868"/>
    <cellStyle name="Percent 3 5 3 4 2 2 2" xfId="34869"/>
    <cellStyle name="Percent 3 5 3 4 2 3" xfId="34870"/>
    <cellStyle name="Percent 3 5 3 4 3" xfId="34871"/>
    <cellStyle name="Percent 3 5 3 4 3 2" xfId="34872"/>
    <cellStyle name="Percent 3 5 3 4 4" xfId="34873"/>
    <cellStyle name="Percent 3 5 3 5" xfId="34874"/>
    <cellStyle name="Percent 3 5 3 5 2" xfId="34875"/>
    <cellStyle name="Percent 3 5 3 5 2 2" xfId="34876"/>
    <cellStyle name="Percent 3 5 3 5 3" xfId="34877"/>
    <cellStyle name="Percent 3 5 3 6" xfId="34878"/>
    <cellStyle name="Percent 3 5 3 6 2" xfId="34879"/>
    <cellStyle name="Percent 3 5 3 6 2 2" xfId="34880"/>
    <cellStyle name="Percent 3 5 3 6 3" xfId="34881"/>
    <cellStyle name="Percent 3 5 3 7" xfId="34882"/>
    <cellStyle name="Percent 3 5 3 7 2" xfId="34883"/>
    <cellStyle name="Percent 3 5 3 8" xfId="34884"/>
    <cellStyle name="Percent 3 5 3 8 2" xfId="37532"/>
    <cellStyle name="Percent 3 5 3 9" xfId="34885"/>
    <cellStyle name="Percent 3 5 4" xfId="34886"/>
    <cellStyle name="Percent 3 5 4 2" xfId="34887"/>
    <cellStyle name="Percent 3 5 4 2 2" xfId="34888"/>
    <cellStyle name="Percent 3 5 4 2 2 2" xfId="34889"/>
    <cellStyle name="Percent 3 5 4 2 2 2 2" xfId="34890"/>
    <cellStyle name="Percent 3 5 4 2 2 2 2 2" xfId="34891"/>
    <cellStyle name="Percent 3 5 4 2 2 2 2 3" xfId="34892"/>
    <cellStyle name="Percent 3 5 4 2 2 2 3" xfId="34893"/>
    <cellStyle name="Percent 3 5 4 2 2 2 3 2" xfId="34894"/>
    <cellStyle name="Percent 3 5 4 2 2 2 4" xfId="34895"/>
    <cellStyle name="Percent 3 5 4 2 2 3" xfId="34896"/>
    <cellStyle name="Percent 3 5 4 2 2 3 2" xfId="34897"/>
    <cellStyle name="Percent 3 5 4 2 2 3 2 2" xfId="34898"/>
    <cellStyle name="Percent 3 5 4 2 2 3 3" xfId="34899"/>
    <cellStyle name="Percent 3 5 4 2 2 4" xfId="34900"/>
    <cellStyle name="Percent 3 5 4 2 2 4 2" xfId="34901"/>
    <cellStyle name="Percent 3 5 4 2 2 4 3" xfId="34902"/>
    <cellStyle name="Percent 3 5 4 2 2 5" xfId="34903"/>
    <cellStyle name="Percent 3 5 4 2 2 5 2" xfId="34904"/>
    <cellStyle name="Percent 3 5 4 2 2 6" xfId="34905"/>
    <cellStyle name="Percent 3 5 4 2 2 6 2" xfId="37533"/>
    <cellStyle name="Percent 3 5 4 2 2 7" xfId="34906"/>
    <cellStyle name="Percent 3 5 4 2 3" xfId="34907"/>
    <cellStyle name="Percent 3 5 4 2 3 2" xfId="34908"/>
    <cellStyle name="Percent 3 5 4 2 3 2 2" xfId="34909"/>
    <cellStyle name="Percent 3 5 4 2 3 2 2 2" xfId="34910"/>
    <cellStyle name="Percent 3 5 4 2 3 2 3" xfId="34911"/>
    <cellStyle name="Percent 3 5 4 2 3 3" xfId="34912"/>
    <cellStyle name="Percent 3 5 4 2 3 3 2" xfId="34913"/>
    <cellStyle name="Percent 3 5 4 2 3 4" xfId="34914"/>
    <cellStyle name="Percent 3 5 4 2 4" xfId="34915"/>
    <cellStyle name="Percent 3 5 4 2 4 2" xfId="34916"/>
    <cellStyle name="Percent 3 5 4 2 4 2 2" xfId="34917"/>
    <cellStyle name="Percent 3 5 4 2 4 3" xfId="34918"/>
    <cellStyle name="Percent 3 5 4 2 5" xfId="34919"/>
    <cellStyle name="Percent 3 5 4 2 5 2" xfId="34920"/>
    <cellStyle name="Percent 3 5 4 2 5 2 2" xfId="34921"/>
    <cellStyle name="Percent 3 5 4 2 5 3" xfId="34922"/>
    <cellStyle name="Percent 3 5 4 2 6" xfId="34923"/>
    <cellStyle name="Percent 3 5 4 2 6 2" xfId="34924"/>
    <cellStyle name="Percent 3 5 4 2 7" xfId="34925"/>
    <cellStyle name="Percent 3 5 4 2 7 2" xfId="37534"/>
    <cellStyle name="Percent 3 5 4 2 8" xfId="34926"/>
    <cellStyle name="Percent 3 5 4 3" xfId="34927"/>
    <cellStyle name="Percent 3 5 4 3 2" xfId="34928"/>
    <cellStyle name="Percent 3 5 4 3 2 2" xfId="34929"/>
    <cellStyle name="Percent 3 5 4 3 2 2 2" xfId="34930"/>
    <cellStyle name="Percent 3 5 4 3 2 2 3" xfId="34931"/>
    <cellStyle name="Percent 3 5 4 3 2 3" xfId="34932"/>
    <cellStyle name="Percent 3 5 4 3 2 3 2" xfId="34933"/>
    <cellStyle name="Percent 3 5 4 3 2 4" xfId="34934"/>
    <cellStyle name="Percent 3 5 4 3 3" xfId="34935"/>
    <cellStyle name="Percent 3 5 4 3 3 2" xfId="34936"/>
    <cellStyle name="Percent 3 5 4 3 3 2 2" xfId="34937"/>
    <cellStyle name="Percent 3 5 4 3 3 3" xfId="34938"/>
    <cellStyle name="Percent 3 5 4 3 4" xfId="34939"/>
    <cellStyle name="Percent 3 5 4 3 4 2" xfId="34940"/>
    <cellStyle name="Percent 3 5 4 3 4 3" xfId="34941"/>
    <cellStyle name="Percent 3 5 4 3 5" xfId="34942"/>
    <cellStyle name="Percent 3 5 4 3 5 2" xfId="34943"/>
    <cellStyle name="Percent 3 5 4 3 6" xfId="34944"/>
    <cellStyle name="Percent 3 5 4 3 6 2" xfId="37535"/>
    <cellStyle name="Percent 3 5 4 3 7" xfId="34945"/>
    <cellStyle name="Percent 3 5 4 4" xfId="34946"/>
    <cellStyle name="Percent 3 5 4 4 2" xfId="34947"/>
    <cellStyle name="Percent 3 5 4 4 2 2" xfId="34948"/>
    <cellStyle name="Percent 3 5 4 4 2 2 2" xfId="34949"/>
    <cellStyle name="Percent 3 5 4 4 2 3" xfId="34950"/>
    <cellStyle name="Percent 3 5 4 4 3" xfId="34951"/>
    <cellStyle name="Percent 3 5 4 4 3 2" xfId="34952"/>
    <cellStyle name="Percent 3 5 4 4 4" xfId="34953"/>
    <cellStyle name="Percent 3 5 4 5" xfId="34954"/>
    <cellStyle name="Percent 3 5 4 5 2" xfId="34955"/>
    <cellStyle name="Percent 3 5 4 5 2 2" xfId="34956"/>
    <cellStyle name="Percent 3 5 4 5 3" xfId="34957"/>
    <cellStyle name="Percent 3 5 4 6" xfId="34958"/>
    <cellStyle name="Percent 3 5 4 6 2" xfId="34959"/>
    <cellStyle name="Percent 3 5 4 6 2 2" xfId="34960"/>
    <cellStyle name="Percent 3 5 4 6 3" xfId="34961"/>
    <cellStyle name="Percent 3 5 4 7" xfId="34962"/>
    <cellStyle name="Percent 3 5 4 7 2" xfId="34963"/>
    <cellStyle name="Percent 3 5 4 8" xfId="34964"/>
    <cellStyle name="Percent 3 5 4 8 2" xfId="37536"/>
    <cellStyle name="Percent 3 5 4 9" xfId="34965"/>
    <cellStyle name="Percent 3 5 5" xfId="34966"/>
    <cellStyle name="Percent 3 5 5 2" xfId="34967"/>
    <cellStyle name="Percent 3 5 5 2 2" xfId="34968"/>
    <cellStyle name="Percent 3 5 5 2 2 2" xfId="34969"/>
    <cellStyle name="Percent 3 5 5 2 2 2 2" xfId="34970"/>
    <cellStyle name="Percent 3 5 5 2 2 2 3" xfId="34971"/>
    <cellStyle name="Percent 3 5 5 2 2 3" xfId="34972"/>
    <cellStyle name="Percent 3 5 5 2 2 3 2" xfId="34973"/>
    <cellStyle name="Percent 3 5 5 2 2 4" xfId="34974"/>
    <cellStyle name="Percent 3 5 5 2 3" xfId="34975"/>
    <cellStyle name="Percent 3 5 5 2 3 2" xfId="34976"/>
    <cellStyle name="Percent 3 5 5 2 3 2 2" xfId="34977"/>
    <cellStyle name="Percent 3 5 5 2 3 3" xfId="34978"/>
    <cellStyle name="Percent 3 5 5 2 4" xfId="34979"/>
    <cellStyle name="Percent 3 5 5 2 4 2" xfId="34980"/>
    <cellStyle name="Percent 3 5 5 2 4 3" xfId="34981"/>
    <cellStyle name="Percent 3 5 5 2 5" xfId="34982"/>
    <cellStyle name="Percent 3 5 5 2 5 2" xfId="34983"/>
    <cellStyle name="Percent 3 5 5 2 6" xfId="34984"/>
    <cellStyle name="Percent 3 5 5 2 6 2" xfId="37537"/>
    <cellStyle name="Percent 3 5 5 2 7" xfId="34985"/>
    <cellStyle name="Percent 3 5 5 3" xfId="34986"/>
    <cellStyle name="Percent 3 5 5 3 2" xfId="34987"/>
    <cellStyle name="Percent 3 5 5 3 2 2" xfId="34988"/>
    <cellStyle name="Percent 3 5 5 3 2 2 2" xfId="34989"/>
    <cellStyle name="Percent 3 5 5 3 2 3" xfId="34990"/>
    <cellStyle name="Percent 3 5 5 3 3" xfId="34991"/>
    <cellStyle name="Percent 3 5 5 3 3 2" xfId="34992"/>
    <cellStyle name="Percent 3 5 5 3 4" xfId="34993"/>
    <cellStyle name="Percent 3 5 5 4" xfId="34994"/>
    <cellStyle name="Percent 3 5 5 4 2" xfId="34995"/>
    <cellStyle name="Percent 3 5 5 4 2 2" xfId="34996"/>
    <cellStyle name="Percent 3 5 5 4 3" xfId="34997"/>
    <cellStyle name="Percent 3 5 5 5" xfId="34998"/>
    <cellStyle name="Percent 3 5 5 5 2" xfId="34999"/>
    <cellStyle name="Percent 3 5 5 5 2 2" xfId="35000"/>
    <cellStyle name="Percent 3 5 5 5 3" xfId="35001"/>
    <cellStyle name="Percent 3 5 5 6" xfId="35002"/>
    <cellStyle name="Percent 3 5 5 6 2" xfId="35003"/>
    <cellStyle name="Percent 3 5 5 7" xfId="35004"/>
    <cellStyle name="Percent 3 5 5 7 2" xfId="37538"/>
    <cellStyle name="Percent 3 5 5 8" xfId="35005"/>
    <cellStyle name="Percent 3 5 6" xfId="35006"/>
    <cellStyle name="Percent 3 5 6 2" xfId="35007"/>
    <cellStyle name="Percent 3 5 6 2 2" xfId="35008"/>
    <cellStyle name="Percent 3 5 6 2 2 2" xfId="35009"/>
    <cellStyle name="Percent 3 5 6 2 2 2 2" xfId="35010"/>
    <cellStyle name="Percent 3 5 6 2 2 2 3" xfId="35011"/>
    <cellStyle name="Percent 3 5 6 2 2 3" xfId="35012"/>
    <cellStyle name="Percent 3 5 6 2 2 3 2" xfId="35013"/>
    <cellStyle name="Percent 3 5 6 2 2 4" xfId="35014"/>
    <cellStyle name="Percent 3 5 6 2 3" xfId="35015"/>
    <cellStyle name="Percent 3 5 6 2 3 2" xfId="35016"/>
    <cellStyle name="Percent 3 5 6 2 3 2 2" xfId="35017"/>
    <cellStyle name="Percent 3 5 6 2 3 3" xfId="35018"/>
    <cellStyle name="Percent 3 5 6 2 4" xfId="35019"/>
    <cellStyle name="Percent 3 5 6 2 4 2" xfId="35020"/>
    <cellStyle name="Percent 3 5 6 2 4 3" xfId="35021"/>
    <cellStyle name="Percent 3 5 6 2 5" xfId="35022"/>
    <cellStyle name="Percent 3 5 6 2 5 2" xfId="35023"/>
    <cellStyle name="Percent 3 5 6 2 6" xfId="35024"/>
    <cellStyle name="Percent 3 5 6 2 6 2" xfId="37539"/>
    <cellStyle name="Percent 3 5 6 2 7" xfId="35025"/>
    <cellStyle name="Percent 3 5 6 3" xfId="35026"/>
    <cellStyle name="Percent 3 5 6 3 2" xfId="35027"/>
    <cellStyle name="Percent 3 5 6 3 2 2" xfId="35028"/>
    <cellStyle name="Percent 3 5 6 3 2 2 2" xfId="35029"/>
    <cellStyle name="Percent 3 5 6 3 2 3" xfId="35030"/>
    <cellStyle name="Percent 3 5 6 3 3" xfId="35031"/>
    <cellStyle name="Percent 3 5 6 3 3 2" xfId="35032"/>
    <cellStyle name="Percent 3 5 6 3 4" xfId="35033"/>
    <cellStyle name="Percent 3 5 6 4" xfId="35034"/>
    <cellStyle name="Percent 3 5 6 4 2" xfId="35035"/>
    <cellStyle name="Percent 3 5 6 4 2 2" xfId="35036"/>
    <cellStyle name="Percent 3 5 6 4 3" xfId="35037"/>
    <cellStyle name="Percent 3 5 6 5" xfId="35038"/>
    <cellStyle name="Percent 3 5 6 5 2" xfId="35039"/>
    <cellStyle name="Percent 3 5 6 5 2 2" xfId="35040"/>
    <cellStyle name="Percent 3 5 6 5 3" xfId="35041"/>
    <cellStyle name="Percent 3 5 6 6" xfId="35042"/>
    <cellStyle name="Percent 3 5 6 6 2" xfId="35043"/>
    <cellStyle name="Percent 3 5 6 7" xfId="35044"/>
    <cellStyle name="Percent 3 5 6 7 2" xfId="37540"/>
    <cellStyle name="Percent 3 5 6 8" xfId="35045"/>
    <cellStyle name="Percent 3 5 7" xfId="35046"/>
    <cellStyle name="Percent 3 5 7 2" xfId="35047"/>
    <cellStyle name="Percent 3 5 7 2 2" xfId="35048"/>
    <cellStyle name="Percent 3 5 7 2 2 2" xfId="35049"/>
    <cellStyle name="Percent 3 5 7 2 2 2 2" xfId="35050"/>
    <cellStyle name="Percent 3 5 7 2 2 2 3" xfId="35051"/>
    <cellStyle name="Percent 3 5 7 2 2 3" xfId="35052"/>
    <cellStyle name="Percent 3 5 7 2 2 3 2" xfId="35053"/>
    <cellStyle name="Percent 3 5 7 2 2 4" xfId="35054"/>
    <cellStyle name="Percent 3 5 7 2 3" xfId="35055"/>
    <cellStyle name="Percent 3 5 7 2 3 2" xfId="35056"/>
    <cellStyle name="Percent 3 5 7 2 3 2 2" xfId="35057"/>
    <cellStyle name="Percent 3 5 7 2 3 3" xfId="35058"/>
    <cellStyle name="Percent 3 5 7 2 4" xfId="35059"/>
    <cellStyle name="Percent 3 5 7 2 4 2" xfId="35060"/>
    <cellStyle name="Percent 3 5 7 2 4 3" xfId="35061"/>
    <cellStyle name="Percent 3 5 7 2 5" xfId="35062"/>
    <cellStyle name="Percent 3 5 7 2 5 2" xfId="35063"/>
    <cellStyle name="Percent 3 5 7 2 6" xfId="35064"/>
    <cellStyle name="Percent 3 5 7 2 6 2" xfId="37541"/>
    <cellStyle name="Percent 3 5 7 2 7" xfId="35065"/>
    <cellStyle name="Percent 3 5 7 3" xfId="35066"/>
    <cellStyle name="Percent 3 5 7 3 2" xfId="35067"/>
    <cellStyle name="Percent 3 5 7 3 2 2" xfId="35068"/>
    <cellStyle name="Percent 3 5 7 3 2 2 2" xfId="35069"/>
    <cellStyle name="Percent 3 5 7 3 2 3" xfId="35070"/>
    <cellStyle name="Percent 3 5 7 3 3" xfId="35071"/>
    <cellStyle name="Percent 3 5 7 3 3 2" xfId="35072"/>
    <cellStyle name="Percent 3 5 7 3 4" xfId="35073"/>
    <cellStyle name="Percent 3 5 7 4" xfId="35074"/>
    <cellStyle name="Percent 3 5 7 4 2" xfId="35075"/>
    <cellStyle name="Percent 3 5 7 4 2 2" xfId="35076"/>
    <cellStyle name="Percent 3 5 7 4 3" xfId="35077"/>
    <cellStyle name="Percent 3 5 7 5" xfId="35078"/>
    <cellStyle name="Percent 3 5 7 5 2" xfId="35079"/>
    <cellStyle name="Percent 3 5 7 5 2 2" xfId="35080"/>
    <cellStyle name="Percent 3 5 7 5 3" xfId="35081"/>
    <cellStyle name="Percent 3 5 7 6" xfId="35082"/>
    <cellStyle name="Percent 3 5 7 6 2" xfId="35083"/>
    <cellStyle name="Percent 3 5 7 7" xfId="35084"/>
    <cellStyle name="Percent 3 5 7 7 2" xfId="37542"/>
    <cellStyle name="Percent 3 5 7 8" xfId="35085"/>
    <cellStyle name="Percent 3 5 8" xfId="35086"/>
    <cellStyle name="Percent 3 5 8 2" xfId="35087"/>
    <cellStyle name="Percent 3 5 8 2 2" xfId="35088"/>
    <cellStyle name="Percent 3 5 8 2 2 2" xfId="35089"/>
    <cellStyle name="Percent 3 5 8 2 2 3" xfId="35090"/>
    <cellStyle name="Percent 3 5 8 2 3" xfId="35091"/>
    <cellStyle name="Percent 3 5 8 2 3 2" xfId="35092"/>
    <cellStyle name="Percent 3 5 8 2 4" xfId="35093"/>
    <cellStyle name="Percent 3 5 8 3" xfId="35094"/>
    <cellStyle name="Percent 3 5 8 3 2" xfId="35095"/>
    <cellStyle name="Percent 3 5 8 3 2 2" xfId="35096"/>
    <cellStyle name="Percent 3 5 8 3 3" xfId="35097"/>
    <cellStyle name="Percent 3 5 8 4" xfId="35098"/>
    <cellStyle name="Percent 3 5 8 4 2" xfId="35099"/>
    <cellStyle name="Percent 3 5 8 4 3" xfId="35100"/>
    <cellStyle name="Percent 3 5 8 5" xfId="35101"/>
    <cellStyle name="Percent 3 5 8 5 2" xfId="35102"/>
    <cellStyle name="Percent 3 5 8 6" xfId="35103"/>
    <cellStyle name="Percent 3 5 8 6 2" xfId="37543"/>
    <cellStyle name="Percent 3 5 8 7" xfId="35104"/>
    <cellStyle name="Percent 3 5 9" xfId="35105"/>
    <cellStyle name="Percent 3 5 9 2" xfId="35106"/>
    <cellStyle name="Percent 3 5 9 2 2" xfId="35107"/>
    <cellStyle name="Percent 3 5 9 2 2 2" xfId="35108"/>
    <cellStyle name="Percent 3 5 9 2 3" xfId="35109"/>
    <cellStyle name="Percent 3 5 9 3" xfId="35110"/>
    <cellStyle name="Percent 3 5 9 3 2" xfId="35111"/>
    <cellStyle name="Percent 3 5 9 4" xfId="35112"/>
    <cellStyle name="Percent 3 6" xfId="35113"/>
    <cellStyle name="Percent 3 6 10" xfId="35114"/>
    <cellStyle name="Percent 3 6 10 2" xfId="35115"/>
    <cellStyle name="Percent 3 6 11" xfId="35116"/>
    <cellStyle name="Percent 3 6 11 2" xfId="37544"/>
    <cellStyle name="Percent 3 6 12" xfId="35117"/>
    <cellStyle name="Percent 3 6 2" xfId="35118"/>
    <cellStyle name="Percent 3 6 2 10" xfId="35119"/>
    <cellStyle name="Percent 3 6 2 2" xfId="35120"/>
    <cellStyle name="Percent 3 6 2 2 2" xfId="35121"/>
    <cellStyle name="Percent 3 6 2 2 2 2" xfId="35122"/>
    <cellStyle name="Percent 3 6 2 2 2 2 2" xfId="35123"/>
    <cellStyle name="Percent 3 6 2 2 2 2 2 2" xfId="35124"/>
    <cellStyle name="Percent 3 6 2 2 2 2 2 2 2" xfId="35125"/>
    <cellStyle name="Percent 3 6 2 2 2 2 2 2 3" xfId="35126"/>
    <cellStyle name="Percent 3 6 2 2 2 2 2 3" xfId="35127"/>
    <cellStyle name="Percent 3 6 2 2 2 2 2 3 2" xfId="35128"/>
    <cellStyle name="Percent 3 6 2 2 2 2 2 4" xfId="35129"/>
    <cellStyle name="Percent 3 6 2 2 2 2 3" xfId="35130"/>
    <cellStyle name="Percent 3 6 2 2 2 2 3 2" xfId="35131"/>
    <cellStyle name="Percent 3 6 2 2 2 2 3 2 2" xfId="35132"/>
    <cellStyle name="Percent 3 6 2 2 2 2 3 3" xfId="35133"/>
    <cellStyle name="Percent 3 6 2 2 2 2 4" xfId="35134"/>
    <cellStyle name="Percent 3 6 2 2 2 2 4 2" xfId="35135"/>
    <cellStyle name="Percent 3 6 2 2 2 2 4 3" xfId="35136"/>
    <cellStyle name="Percent 3 6 2 2 2 2 5" xfId="35137"/>
    <cellStyle name="Percent 3 6 2 2 2 2 5 2" xfId="35138"/>
    <cellStyle name="Percent 3 6 2 2 2 2 6" xfId="35139"/>
    <cellStyle name="Percent 3 6 2 2 2 2 6 2" xfId="37545"/>
    <cellStyle name="Percent 3 6 2 2 2 2 7" xfId="35140"/>
    <cellStyle name="Percent 3 6 2 2 2 3" xfId="35141"/>
    <cellStyle name="Percent 3 6 2 2 2 3 2" xfId="35142"/>
    <cellStyle name="Percent 3 6 2 2 2 3 2 2" xfId="35143"/>
    <cellStyle name="Percent 3 6 2 2 2 3 2 2 2" xfId="35144"/>
    <cellStyle name="Percent 3 6 2 2 2 3 2 3" xfId="35145"/>
    <cellStyle name="Percent 3 6 2 2 2 3 3" xfId="35146"/>
    <cellStyle name="Percent 3 6 2 2 2 3 3 2" xfId="35147"/>
    <cellStyle name="Percent 3 6 2 2 2 3 4" xfId="35148"/>
    <cellStyle name="Percent 3 6 2 2 2 4" xfId="35149"/>
    <cellStyle name="Percent 3 6 2 2 2 4 2" xfId="35150"/>
    <cellStyle name="Percent 3 6 2 2 2 4 2 2" xfId="35151"/>
    <cellStyle name="Percent 3 6 2 2 2 4 3" xfId="35152"/>
    <cellStyle name="Percent 3 6 2 2 2 5" xfId="35153"/>
    <cellStyle name="Percent 3 6 2 2 2 5 2" xfId="35154"/>
    <cellStyle name="Percent 3 6 2 2 2 5 2 2" xfId="35155"/>
    <cellStyle name="Percent 3 6 2 2 2 5 3" xfId="35156"/>
    <cellStyle name="Percent 3 6 2 2 2 6" xfId="35157"/>
    <cellStyle name="Percent 3 6 2 2 2 6 2" xfId="35158"/>
    <cellStyle name="Percent 3 6 2 2 2 7" xfId="35159"/>
    <cellStyle name="Percent 3 6 2 2 2 7 2" xfId="37546"/>
    <cellStyle name="Percent 3 6 2 2 2 8" xfId="35160"/>
    <cellStyle name="Percent 3 6 2 2 3" xfId="35161"/>
    <cellStyle name="Percent 3 6 2 2 3 2" xfId="35162"/>
    <cellStyle name="Percent 3 6 2 2 3 2 2" xfId="35163"/>
    <cellStyle name="Percent 3 6 2 2 3 2 2 2" xfId="35164"/>
    <cellStyle name="Percent 3 6 2 2 3 2 2 3" xfId="35165"/>
    <cellStyle name="Percent 3 6 2 2 3 2 3" xfId="35166"/>
    <cellStyle name="Percent 3 6 2 2 3 2 3 2" xfId="35167"/>
    <cellStyle name="Percent 3 6 2 2 3 2 4" xfId="35168"/>
    <cellStyle name="Percent 3 6 2 2 3 3" xfId="35169"/>
    <cellStyle name="Percent 3 6 2 2 3 3 2" xfId="35170"/>
    <cellStyle name="Percent 3 6 2 2 3 3 2 2" xfId="35171"/>
    <cellStyle name="Percent 3 6 2 2 3 3 3" xfId="35172"/>
    <cellStyle name="Percent 3 6 2 2 3 4" xfId="35173"/>
    <cellStyle name="Percent 3 6 2 2 3 4 2" xfId="35174"/>
    <cellStyle name="Percent 3 6 2 2 3 4 3" xfId="35175"/>
    <cellStyle name="Percent 3 6 2 2 3 5" xfId="35176"/>
    <cellStyle name="Percent 3 6 2 2 3 5 2" xfId="35177"/>
    <cellStyle name="Percent 3 6 2 2 3 6" xfId="35178"/>
    <cellStyle name="Percent 3 6 2 2 3 6 2" xfId="37547"/>
    <cellStyle name="Percent 3 6 2 2 3 7" xfId="35179"/>
    <cellStyle name="Percent 3 6 2 2 4" xfId="35180"/>
    <cellStyle name="Percent 3 6 2 2 4 2" xfId="35181"/>
    <cellStyle name="Percent 3 6 2 2 4 2 2" xfId="35182"/>
    <cellStyle name="Percent 3 6 2 2 4 2 2 2" xfId="35183"/>
    <cellStyle name="Percent 3 6 2 2 4 2 3" xfId="35184"/>
    <cellStyle name="Percent 3 6 2 2 4 3" xfId="35185"/>
    <cellStyle name="Percent 3 6 2 2 4 3 2" xfId="35186"/>
    <cellStyle name="Percent 3 6 2 2 4 4" xfId="35187"/>
    <cellStyle name="Percent 3 6 2 2 5" xfId="35188"/>
    <cellStyle name="Percent 3 6 2 2 5 2" xfId="35189"/>
    <cellStyle name="Percent 3 6 2 2 5 2 2" xfId="35190"/>
    <cellStyle name="Percent 3 6 2 2 5 3" xfId="35191"/>
    <cellStyle name="Percent 3 6 2 2 6" xfId="35192"/>
    <cellStyle name="Percent 3 6 2 2 6 2" xfId="35193"/>
    <cellStyle name="Percent 3 6 2 2 6 2 2" xfId="35194"/>
    <cellStyle name="Percent 3 6 2 2 6 3" xfId="35195"/>
    <cellStyle name="Percent 3 6 2 2 7" xfId="35196"/>
    <cellStyle name="Percent 3 6 2 2 7 2" xfId="35197"/>
    <cellStyle name="Percent 3 6 2 2 8" xfId="35198"/>
    <cellStyle name="Percent 3 6 2 2 8 2" xfId="37548"/>
    <cellStyle name="Percent 3 6 2 2 9" xfId="35199"/>
    <cellStyle name="Percent 3 6 2 3" xfId="35200"/>
    <cellStyle name="Percent 3 6 2 3 2" xfId="35201"/>
    <cellStyle name="Percent 3 6 2 3 2 2" xfId="35202"/>
    <cellStyle name="Percent 3 6 2 3 2 2 2" xfId="35203"/>
    <cellStyle name="Percent 3 6 2 3 2 2 2 2" xfId="35204"/>
    <cellStyle name="Percent 3 6 2 3 2 2 2 3" xfId="35205"/>
    <cellStyle name="Percent 3 6 2 3 2 2 3" xfId="35206"/>
    <cellStyle name="Percent 3 6 2 3 2 2 3 2" xfId="35207"/>
    <cellStyle name="Percent 3 6 2 3 2 2 4" xfId="35208"/>
    <cellStyle name="Percent 3 6 2 3 2 3" xfId="35209"/>
    <cellStyle name="Percent 3 6 2 3 2 3 2" xfId="35210"/>
    <cellStyle name="Percent 3 6 2 3 2 3 2 2" xfId="35211"/>
    <cellStyle name="Percent 3 6 2 3 2 3 3" xfId="35212"/>
    <cellStyle name="Percent 3 6 2 3 2 4" xfId="35213"/>
    <cellStyle name="Percent 3 6 2 3 2 4 2" xfId="35214"/>
    <cellStyle name="Percent 3 6 2 3 2 4 3" xfId="35215"/>
    <cellStyle name="Percent 3 6 2 3 2 5" xfId="35216"/>
    <cellStyle name="Percent 3 6 2 3 2 5 2" xfId="35217"/>
    <cellStyle name="Percent 3 6 2 3 2 6" xfId="35218"/>
    <cellStyle name="Percent 3 6 2 3 2 6 2" xfId="37549"/>
    <cellStyle name="Percent 3 6 2 3 2 7" xfId="35219"/>
    <cellStyle name="Percent 3 6 2 3 3" xfId="35220"/>
    <cellStyle name="Percent 3 6 2 3 3 2" xfId="35221"/>
    <cellStyle name="Percent 3 6 2 3 3 2 2" xfId="35222"/>
    <cellStyle name="Percent 3 6 2 3 3 2 2 2" xfId="35223"/>
    <cellStyle name="Percent 3 6 2 3 3 2 3" xfId="35224"/>
    <cellStyle name="Percent 3 6 2 3 3 3" xfId="35225"/>
    <cellStyle name="Percent 3 6 2 3 3 3 2" xfId="35226"/>
    <cellStyle name="Percent 3 6 2 3 3 4" xfId="35227"/>
    <cellStyle name="Percent 3 6 2 3 4" xfId="35228"/>
    <cellStyle name="Percent 3 6 2 3 4 2" xfId="35229"/>
    <cellStyle name="Percent 3 6 2 3 4 2 2" xfId="35230"/>
    <cellStyle name="Percent 3 6 2 3 4 3" xfId="35231"/>
    <cellStyle name="Percent 3 6 2 3 5" xfId="35232"/>
    <cellStyle name="Percent 3 6 2 3 5 2" xfId="35233"/>
    <cellStyle name="Percent 3 6 2 3 5 2 2" xfId="35234"/>
    <cellStyle name="Percent 3 6 2 3 5 3" xfId="35235"/>
    <cellStyle name="Percent 3 6 2 3 6" xfId="35236"/>
    <cellStyle name="Percent 3 6 2 3 6 2" xfId="35237"/>
    <cellStyle name="Percent 3 6 2 3 7" xfId="35238"/>
    <cellStyle name="Percent 3 6 2 3 7 2" xfId="37550"/>
    <cellStyle name="Percent 3 6 2 3 8" xfId="35239"/>
    <cellStyle name="Percent 3 6 2 4" xfId="35240"/>
    <cellStyle name="Percent 3 6 2 4 2" xfId="35241"/>
    <cellStyle name="Percent 3 6 2 4 2 2" xfId="35242"/>
    <cellStyle name="Percent 3 6 2 4 2 2 2" xfId="35243"/>
    <cellStyle name="Percent 3 6 2 4 2 2 3" xfId="35244"/>
    <cellStyle name="Percent 3 6 2 4 2 3" xfId="35245"/>
    <cellStyle name="Percent 3 6 2 4 2 3 2" xfId="35246"/>
    <cellStyle name="Percent 3 6 2 4 2 4" xfId="35247"/>
    <cellStyle name="Percent 3 6 2 4 3" xfId="35248"/>
    <cellStyle name="Percent 3 6 2 4 3 2" xfId="35249"/>
    <cellStyle name="Percent 3 6 2 4 3 2 2" xfId="35250"/>
    <cellStyle name="Percent 3 6 2 4 3 3" xfId="35251"/>
    <cellStyle name="Percent 3 6 2 4 4" xfId="35252"/>
    <cellStyle name="Percent 3 6 2 4 4 2" xfId="35253"/>
    <cellStyle name="Percent 3 6 2 4 4 3" xfId="35254"/>
    <cellStyle name="Percent 3 6 2 4 5" xfId="35255"/>
    <cellStyle name="Percent 3 6 2 4 5 2" xfId="35256"/>
    <cellStyle name="Percent 3 6 2 4 6" xfId="35257"/>
    <cellStyle name="Percent 3 6 2 4 6 2" xfId="37551"/>
    <cellStyle name="Percent 3 6 2 4 7" xfId="35258"/>
    <cellStyle name="Percent 3 6 2 5" xfId="35259"/>
    <cellStyle name="Percent 3 6 2 5 2" xfId="35260"/>
    <cellStyle name="Percent 3 6 2 5 2 2" xfId="35261"/>
    <cellStyle name="Percent 3 6 2 5 2 2 2" xfId="35262"/>
    <cellStyle name="Percent 3 6 2 5 2 3" xfId="35263"/>
    <cellStyle name="Percent 3 6 2 5 3" xfId="35264"/>
    <cellStyle name="Percent 3 6 2 5 3 2" xfId="35265"/>
    <cellStyle name="Percent 3 6 2 5 4" xfId="35266"/>
    <cellStyle name="Percent 3 6 2 6" xfId="35267"/>
    <cellStyle name="Percent 3 6 2 6 2" xfId="35268"/>
    <cellStyle name="Percent 3 6 2 6 2 2" xfId="35269"/>
    <cellStyle name="Percent 3 6 2 6 3" xfId="35270"/>
    <cellStyle name="Percent 3 6 2 7" xfId="35271"/>
    <cellStyle name="Percent 3 6 2 7 2" xfId="35272"/>
    <cellStyle name="Percent 3 6 2 7 2 2" xfId="35273"/>
    <cellStyle name="Percent 3 6 2 7 3" xfId="35274"/>
    <cellStyle name="Percent 3 6 2 8" xfId="35275"/>
    <cellStyle name="Percent 3 6 2 8 2" xfId="35276"/>
    <cellStyle name="Percent 3 6 2 9" xfId="35277"/>
    <cellStyle name="Percent 3 6 2 9 2" xfId="37552"/>
    <cellStyle name="Percent 3 6 3" xfId="35278"/>
    <cellStyle name="Percent 3 6 3 2" xfId="35279"/>
    <cellStyle name="Percent 3 6 3 2 2" xfId="35280"/>
    <cellStyle name="Percent 3 6 3 2 2 2" xfId="35281"/>
    <cellStyle name="Percent 3 6 3 2 2 2 2" xfId="35282"/>
    <cellStyle name="Percent 3 6 3 2 2 2 2 2" xfId="35283"/>
    <cellStyle name="Percent 3 6 3 2 2 2 2 3" xfId="35284"/>
    <cellStyle name="Percent 3 6 3 2 2 2 3" xfId="35285"/>
    <cellStyle name="Percent 3 6 3 2 2 2 3 2" xfId="35286"/>
    <cellStyle name="Percent 3 6 3 2 2 2 4" xfId="35287"/>
    <cellStyle name="Percent 3 6 3 2 2 3" xfId="35288"/>
    <cellStyle name="Percent 3 6 3 2 2 3 2" xfId="35289"/>
    <cellStyle name="Percent 3 6 3 2 2 3 2 2" xfId="35290"/>
    <cellStyle name="Percent 3 6 3 2 2 3 3" xfId="35291"/>
    <cellStyle name="Percent 3 6 3 2 2 4" xfId="35292"/>
    <cellStyle name="Percent 3 6 3 2 2 4 2" xfId="35293"/>
    <cellStyle name="Percent 3 6 3 2 2 4 3" xfId="35294"/>
    <cellStyle name="Percent 3 6 3 2 2 5" xfId="35295"/>
    <cellStyle name="Percent 3 6 3 2 2 5 2" xfId="35296"/>
    <cellStyle name="Percent 3 6 3 2 2 6" xfId="35297"/>
    <cellStyle name="Percent 3 6 3 2 2 6 2" xfId="37553"/>
    <cellStyle name="Percent 3 6 3 2 2 7" xfId="35298"/>
    <cellStyle name="Percent 3 6 3 2 3" xfId="35299"/>
    <cellStyle name="Percent 3 6 3 2 3 2" xfId="35300"/>
    <cellStyle name="Percent 3 6 3 2 3 2 2" xfId="35301"/>
    <cellStyle name="Percent 3 6 3 2 3 2 2 2" xfId="35302"/>
    <cellStyle name="Percent 3 6 3 2 3 2 3" xfId="35303"/>
    <cellStyle name="Percent 3 6 3 2 3 3" xfId="35304"/>
    <cellStyle name="Percent 3 6 3 2 3 3 2" xfId="35305"/>
    <cellStyle name="Percent 3 6 3 2 3 4" xfId="35306"/>
    <cellStyle name="Percent 3 6 3 2 4" xfId="35307"/>
    <cellStyle name="Percent 3 6 3 2 4 2" xfId="35308"/>
    <cellStyle name="Percent 3 6 3 2 4 2 2" xfId="35309"/>
    <cellStyle name="Percent 3 6 3 2 4 3" xfId="35310"/>
    <cellStyle name="Percent 3 6 3 2 5" xfId="35311"/>
    <cellStyle name="Percent 3 6 3 2 5 2" xfId="35312"/>
    <cellStyle name="Percent 3 6 3 2 5 2 2" xfId="35313"/>
    <cellStyle name="Percent 3 6 3 2 5 3" xfId="35314"/>
    <cellStyle name="Percent 3 6 3 2 6" xfId="35315"/>
    <cellStyle name="Percent 3 6 3 2 6 2" xfId="35316"/>
    <cellStyle name="Percent 3 6 3 2 7" xfId="35317"/>
    <cellStyle name="Percent 3 6 3 2 7 2" xfId="37554"/>
    <cellStyle name="Percent 3 6 3 2 8" xfId="35318"/>
    <cellStyle name="Percent 3 6 3 3" xfId="35319"/>
    <cellStyle name="Percent 3 6 3 3 2" xfId="35320"/>
    <cellStyle name="Percent 3 6 3 3 2 2" xfId="35321"/>
    <cellStyle name="Percent 3 6 3 3 2 2 2" xfId="35322"/>
    <cellStyle name="Percent 3 6 3 3 2 2 3" xfId="35323"/>
    <cellStyle name="Percent 3 6 3 3 2 3" xfId="35324"/>
    <cellStyle name="Percent 3 6 3 3 2 3 2" xfId="35325"/>
    <cellStyle name="Percent 3 6 3 3 2 4" xfId="35326"/>
    <cellStyle name="Percent 3 6 3 3 3" xfId="35327"/>
    <cellStyle name="Percent 3 6 3 3 3 2" xfId="35328"/>
    <cellStyle name="Percent 3 6 3 3 3 2 2" xfId="35329"/>
    <cellStyle name="Percent 3 6 3 3 3 3" xfId="35330"/>
    <cellStyle name="Percent 3 6 3 3 4" xfId="35331"/>
    <cellStyle name="Percent 3 6 3 3 4 2" xfId="35332"/>
    <cellStyle name="Percent 3 6 3 3 4 3" xfId="35333"/>
    <cellStyle name="Percent 3 6 3 3 5" xfId="35334"/>
    <cellStyle name="Percent 3 6 3 3 5 2" xfId="35335"/>
    <cellStyle name="Percent 3 6 3 3 6" xfId="35336"/>
    <cellStyle name="Percent 3 6 3 3 6 2" xfId="37555"/>
    <cellStyle name="Percent 3 6 3 3 7" xfId="35337"/>
    <cellStyle name="Percent 3 6 3 4" xfId="35338"/>
    <cellStyle name="Percent 3 6 3 4 2" xfId="35339"/>
    <cellStyle name="Percent 3 6 3 4 2 2" xfId="35340"/>
    <cellStyle name="Percent 3 6 3 4 2 2 2" xfId="35341"/>
    <cellStyle name="Percent 3 6 3 4 2 3" xfId="35342"/>
    <cellStyle name="Percent 3 6 3 4 3" xfId="35343"/>
    <cellStyle name="Percent 3 6 3 4 3 2" xfId="35344"/>
    <cellStyle name="Percent 3 6 3 4 4" xfId="35345"/>
    <cellStyle name="Percent 3 6 3 5" xfId="35346"/>
    <cellStyle name="Percent 3 6 3 5 2" xfId="35347"/>
    <cellStyle name="Percent 3 6 3 5 2 2" xfId="35348"/>
    <cellStyle name="Percent 3 6 3 5 3" xfId="35349"/>
    <cellStyle name="Percent 3 6 3 6" xfId="35350"/>
    <cellStyle name="Percent 3 6 3 6 2" xfId="35351"/>
    <cellStyle name="Percent 3 6 3 6 2 2" xfId="35352"/>
    <cellStyle name="Percent 3 6 3 6 3" xfId="35353"/>
    <cellStyle name="Percent 3 6 3 7" xfId="35354"/>
    <cellStyle name="Percent 3 6 3 7 2" xfId="35355"/>
    <cellStyle name="Percent 3 6 3 8" xfId="35356"/>
    <cellStyle name="Percent 3 6 3 8 2" xfId="37556"/>
    <cellStyle name="Percent 3 6 3 9" xfId="35357"/>
    <cellStyle name="Percent 3 6 4" xfId="35358"/>
    <cellStyle name="Percent 3 6 4 2" xfId="35359"/>
    <cellStyle name="Percent 3 6 4 2 2" xfId="35360"/>
    <cellStyle name="Percent 3 6 4 2 2 2" xfId="35361"/>
    <cellStyle name="Percent 3 6 4 2 2 2 2" xfId="35362"/>
    <cellStyle name="Percent 3 6 4 2 2 2 3" xfId="35363"/>
    <cellStyle name="Percent 3 6 4 2 2 3" xfId="35364"/>
    <cellStyle name="Percent 3 6 4 2 2 3 2" xfId="35365"/>
    <cellStyle name="Percent 3 6 4 2 2 4" xfId="35366"/>
    <cellStyle name="Percent 3 6 4 2 3" xfId="35367"/>
    <cellStyle name="Percent 3 6 4 2 3 2" xfId="35368"/>
    <cellStyle name="Percent 3 6 4 2 3 2 2" xfId="35369"/>
    <cellStyle name="Percent 3 6 4 2 3 3" xfId="35370"/>
    <cellStyle name="Percent 3 6 4 2 4" xfId="35371"/>
    <cellStyle name="Percent 3 6 4 2 4 2" xfId="35372"/>
    <cellStyle name="Percent 3 6 4 2 4 3" xfId="35373"/>
    <cellStyle name="Percent 3 6 4 2 5" xfId="35374"/>
    <cellStyle name="Percent 3 6 4 2 5 2" xfId="35375"/>
    <cellStyle name="Percent 3 6 4 2 6" xfId="35376"/>
    <cellStyle name="Percent 3 6 4 2 6 2" xfId="37557"/>
    <cellStyle name="Percent 3 6 4 2 7" xfId="35377"/>
    <cellStyle name="Percent 3 6 4 3" xfId="35378"/>
    <cellStyle name="Percent 3 6 4 3 2" xfId="35379"/>
    <cellStyle name="Percent 3 6 4 3 2 2" xfId="35380"/>
    <cellStyle name="Percent 3 6 4 3 2 2 2" xfId="35381"/>
    <cellStyle name="Percent 3 6 4 3 2 3" xfId="35382"/>
    <cellStyle name="Percent 3 6 4 3 3" xfId="35383"/>
    <cellStyle name="Percent 3 6 4 3 3 2" xfId="35384"/>
    <cellStyle name="Percent 3 6 4 3 4" xfId="35385"/>
    <cellStyle name="Percent 3 6 4 4" xfId="35386"/>
    <cellStyle name="Percent 3 6 4 4 2" xfId="35387"/>
    <cellStyle name="Percent 3 6 4 4 2 2" xfId="35388"/>
    <cellStyle name="Percent 3 6 4 4 3" xfId="35389"/>
    <cellStyle name="Percent 3 6 4 5" xfId="35390"/>
    <cellStyle name="Percent 3 6 4 5 2" xfId="35391"/>
    <cellStyle name="Percent 3 6 4 5 2 2" xfId="35392"/>
    <cellStyle name="Percent 3 6 4 5 3" xfId="35393"/>
    <cellStyle name="Percent 3 6 4 6" xfId="35394"/>
    <cellStyle name="Percent 3 6 4 6 2" xfId="35395"/>
    <cellStyle name="Percent 3 6 4 7" xfId="35396"/>
    <cellStyle name="Percent 3 6 4 7 2" xfId="37558"/>
    <cellStyle name="Percent 3 6 4 8" xfId="35397"/>
    <cellStyle name="Percent 3 6 5" xfId="35398"/>
    <cellStyle name="Percent 3 6 5 2" xfId="35399"/>
    <cellStyle name="Percent 3 6 5 2 2" xfId="35400"/>
    <cellStyle name="Percent 3 6 5 2 2 2" xfId="35401"/>
    <cellStyle name="Percent 3 6 5 2 2 2 2" xfId="35402"/>
    <cellStyle name="Percent 3 6 5 2 2 2 3" xfId="35403"/>
    <cellStyle name="Percent 3 6 5 2 2 3" xfId="35404"/>
    <cellStyle name="Percent 3 6 5 2 2 3 2" xfId="35405"/>
    <cellStyle name="Percent 3 6 5 2 2 4" xfId="35406"/>
    <cellStyle name="Percent 3 6 5 2 3" xfId="35407"/>
    <cellStyle name="Percent 3 6 5 2 3 2" xfId="35408"/>
    <cellStyle name="Percent 3 6 5 2 3 2 2" xfId="35409"/>
    <cellStyle name="Percent 3 6 5 2 3 3" xfId="35410"/>
    <cellStyle name="Percent 3 6 5 2 4" xfId="35411"/>
    <cellStyle name="Percent 3 6 5 2 4 2" xfId="35412"/>
    <cellStyle name="Percent 3 6 5 2 4 3" xfId="35413"/>
    <cellStyle name="Percent 3 6 5 2 5" xfId="35414"/>
    <cellStyle name="Percent 3 6 5 2 5 2" xfId="35415"/>
    <cellStyle name="Percent 3 6 5 2 6" xfId="35416"/>
    <cellStyle name="Percent 3 6 5 2 6 2" xfId="37559"/>
    <cellStyle name="Percent 3 6 5 2 7" xfId="35417"/>
    <cellStyle name="Percent 3 6 5 3" xfId="35418"/>
    <cellStyle name="Percent 3 6 5 3 2" xfId="35419"/>
    <cellStyle name="Percent 3 6 5 3 2 2" xfId="35420"/>
    <cellStyle name="Percent 3 6 5 3 2 2 2" xfId="35421"/>
    <cellStyle name="Percent 3 6 5 3 2 3" xfId="35422"/>
    <cellStyle name="Percent 3 6 5 3 3" xfId="35423"/>
    <cellStyle name="Percent 3 6 5 3 3 2" xfId="35424"/>
    <cellStyle name="Percent 3 6 5 3 4" xfId="35425"/>
    <cellStyle name="Percent 3 6 5 4" xfId="35426"/>
    <cellStyle name="Percent 3 6 5 4 2" xfId="35427"/>
    <cellStyle name="Percent 3 6 5 4 2 2" xfId="35428"/>
    <cellStyle name="Percent 3 6 5 4 3" xfId="35429"/>
    <cellStyle name="Percent 3 6 5 5" xfId="35430"/>
    <cellStyle name="Percent 3 6 5 5 2" xfId="35431"/>
    <cellStyle name="Percent 3 6 5 5 2 2" xfId="35432"/>
    <cellStyle name="Percent 3 6 5 5 3" xfId="35433"/>
    <cellStyle name="Percent 3 6 5 6" xfId="35434"/>
    <cellStyle name="Percent 3 6 5 6 2" xfId="35435"/>
    <cellStyle name="Percent 3 6 5 7" xfId="35436"/>
    <cellStyle name="Percent 3 6 5 7 2" xfId="37560"/>
    <cellStyle name="Percent 3 6 5 8" xfId="35437"/>
    <cellStyle name="Percent 3 6 6" xfId="35438"/>
    <cellStyle name="Percent 3 6 6 2" xfId="35439"/>
    <cellStyle name="Percent 3 6 6 2 2" xfId="35440"/>
    <cellStyle name="Percent 3 6 6 2 2 2" xfId="35441"/>
    <cellStyle name="Percent 3 6 6 2 2 3" xfId="35442"/>
    <cellStyle name="Percent 3 6 6 2 3" xfId="35443"/>
    <cellStyle name="Percent 3 6 6 2 3 2" xfId="35444"/>
    <cellStyle name="Percent 3 6 6 2 4" xfId="35445"/>
    <cellStyle name="Percent 3 6 6 3" xfId="35446"/>
    <cellStyle name="Percent 3 6 6 3 2" xfId="35447"/>
    <cellStyle name="Percent 3 6 6 3 2 2" xfId="35448"/>
    <cellStyle name="Percent 3 6 6 3 3" xfId="35449"/>
    <cellStyle name="Percent 3 6 6 4" xfId="35450"/>
    <cellStyle name="Percent 3 6 6 4 2" xfId="35451"/>
    <cellStyle name="Percent 3 6 6 4 3" xfId="35452"/>
    <cellStyle name="Percent 3 6 6 5" xfId="35453"/>
    <cellStyle name="Percent 3 6 6 5 2" xfId="35454"/>
    <cellStyle name="Percent 3 6 6 6" xfId="35455"/>
    <cellStyle name="Percent 3 6 6 6 2" xfId="37561"/>
    <cellStyle name="Percent 3 6 6 7" xfId="35456"/>
    <cellStyle name="Percent 3 6 7" xfId="35457"/>
    <cellStyle name="Percent 3 6 7 2" xfId="35458"/>
    <cellStyle name="Percent 3 6 7 2 2" xfId="35459"/>
    <cellStyle name="Percent 3 6 7 2 2 2" xfId="35460"/>
    <cellStyle name="Percent 3 6 7 2 3" xfId="35461"/>
    <cellStyle name="Percent 3 6 7 3" xfId="35462"/>
    <cellStyle name="Percent 3 6 7 3 2" xfId="35463"/>
    <cellStyle name="Percent 3 6 7 4" xfId="35464"/>
    <cellStyle name="Percent 3 6 8" xfId="35465"/>
    <cellStyle name="Percent 3 6 8 2" xfId="35466"/>
    <cellStyle name="Percent 3 6 8 2 2" xfId="35467"/>
    <cellStyle name="Percent 3 6 8 3" xfId="35468"/>
    <cellStyle name="Percent 3 6 9" xfId="35469"/>
    <cellStyle name="Percent 3 6 9 2" xfId="35470"/>
    <cellStyle name="Percent 3 6 9 2 2" xfId="35471"/>
    <cellStyle name="Percent 3 6 9 3" xfId="35472"/>
    <cellStyle name="Percent 3 7" xfId="35473"/>
    <cellStyle name="Percent 3 7 10" xfId="35474"/>
    <cellStyle name="Percent 3 7 2" xfId="35475"/>
    <cellStyle name="Percent 3 7 2 2" xfId="35476"/>
    <cellStyle name="Percent 3 7 2 2 2" xfId="35477"/>
    <cellStyle name="Percent 3 7 2 2 2 2" xfId="35478"/>
    <cellStyle name="Percent 3 7 2 2 2 2 2" xfId="35479"/>
    <cellStyle name="Percent 3 7 2 2 2 2 2 2" xfId="35480"/>
    <cellStyle name="Percent 3 7 2 2 2 2 2 3" xfId="35481"/>
    <cellStyle name="Percent 3 7 2 2 2 2 3" xfId="35482"/>
    <cellStyle name="Percent 3 7 2 2 2 2 3 2" xfId="35483"/>
    <cellStyle name="Percent 3 7 2 2 2 2 4" xfId="35484"/>
    <cellStyle name="Percent 3 7 2 2 2 3" xfId="35485"/>
    <cellStyle name="Percent 3 7 2 2 2 3 2" xfId="35486"/>
    <cellStyle name="Percent 3 7 2 2 2 3 2 2" xfId="35487"/>
    <cellStyle name="Percent 3 7 2 2 2 3 3" xfId="35488"/>
    <cellStyle name="Percent 3 7 2 2 2 4" xfId="35489"/>
    <cellStyle name="Percent 3 7 2 2 2 4 2" xfId="35490"/>
    <cellStyle name="Percent 3 7 2 2 2 4 3" xfId="35491"/>
    <cellStyle name="Percent 3 7 2 2 2 5" xfId="35492"/>
    <cellStyle name="Percent 3 7 2 2 2 5 2" xfId="35493"/>
    <cellStyle name="Percent 3 7 2 2 2 6" xfId="35494"/>
    <cellStyle name="Percent 3 7 2 2 2 6 2" xfId="37562"/>
    <cellStyle name="Percent 3 7 2 2 2 7" xfId="35495"/>
    <cellStyle name="Percent 3 7 2 2 3" xfId="35496"/>
    <cellStyle name="Percent 3 7 2 2 3 2" xfId="35497"/>
    <cellStyle name="Percent 3 7 2 2 3 2 2" xfId="35498"/>
    <cellStyle name="Percent 3 7 2 2 3 2 2 2" xfId="35499"/>
    <cellStyle name="Percent 3 7 2 2 3 2 3" xfId="35500"/>
    <cellStyle name="Percent 3 7 2 2 3 3" xfId="35501"/>
    <cellStyle name="Percent 3 7 2 2 3 3 2" xfId="35502"/>
    <cellStyle name="Percent 3 7 2 2 3 4" xfId="35503"/>
    <cellStyle name="Percent 3 7 2 2 4" xfId="35504"/>
    <cellStyle name="Percent 3 7 2 2 4 2" xfId="35505"/>
    <cellStyle name="Percent 3 7 2 2 4 2 2" xfId="35506"/>
    <cellStyle name="Percent 3 7 2 2 4 3" xfId="35507"/>
    <cellStyle name="Percent 3 7 2 2 5" xfId="35508"/>
    <cellStyle name="Percent 3 7 2 2 5 2" xfId="35509"/>
    <cellStyle name="Percent 3 7 2 2 5 2 2" xfId="35510"/>
    <cellStyle name="Percent 3 7 2 2 5 3" xfId="35511"/>
    <cellStyle name="Percent 3 7 2 2 6" xfId="35512"/>
    <cellStyle name="Percent 3 7 2 2 6 2" xfId="35513"/>
    <cellStyle name="Percent 3 7 2 2 7" xfId="35514"/>
    <cellStyle name="Percent 3 7 2 2 7 2" xfId="37563"/>
    <cellStyle name="Percent 3 7 2 2 8" xfId="35515"/>
    <cellStyle name="Percent 3 7 2 3" xfId="35516"/>
    <cellStyle name="Percent 3 7 2 3 2" xfId="35517"/>
    <cellStyle name="Percent 3 7 2 3 2 2" xfId="35518"/>
    <cellStyle name="Percent 3 7 2 3 2 2 2" xfId="35519"/>
    <cellStyle name="Percent 3 7 2 3 2 2 3" xfId="35520"/>
    <cellStyle name="Percent 3 7 2 3 2 3" xfId="35521"/>
    <cellStyle name="Percent 3 7 2 3 2 3 2" xfId="35522"/>
    <cellStyle name="Percent 3 7 2 3 2 4" xfId="35523"/>
    <cellStyle name="Percent 3 7 2 3 3" xfId="35524"/>
    <cellStyle name="Percent 3 7 2 3 3 2" xfId="35525"/>
    <cellStyle name="Percent 3 7 2 3 3 2 2" xfId="35526"/>
    <cellStyle name="Percent 3 7 2 3 3 3" xfId="35527"/>
    <cellStyle name="Percent 3 7 2 3 4" xfId="35528"/>
    <cellStyle name="Percent 3 7 2 3 4 2" xfId="35529"/>
    <cellStyle name="Percent 3 7 2 3 4 3" xfId="35530"/>
    <cellStyle name="Percent 3 7 2 3 5" xfId="35531"/>
    <cellStyle name="Percent 3 7 2 3 5 2" xfId="35532"/>
    <cellStyle name="Percent 3 7 2 3 6" xfId="35533"/>
    <cellStyle name="Percent 3 7 2 3 6 2" xfId="37564"/>
    <cellStyle name="Percent 3 7 2 3 7" xfId="35534"/>
    <cellStyle name="Percent 3 7 2 4" xfId="35535"/>
    <cellStyle name="Percent 3 7 2 4 2" xfId="35536"/>
    <cellStyle name="Percent 3 7 2 4 2 2" xfId="35537"/>
    <cellStyle name="Percent 3 7 2 4 2 2 2" xfId="35538"/>
    <cellStyle name="Percent 3 7 2 4 2 3" xfId="35539"/>
    <cellStyle name="Percent 3 7 2 4 3" xfId="35540"/>
    <cellStyle name="Percent 3 7 2 4 3 2" xfId="35541"/>
    <cellStyle name="Percent 3 7 2 4 4" xfId="35542"/>
    <cellStyle name="Percent 3 7 2 5" xfId="35543"/>
    <cellStyle name="Percent 3 7 2 5 2" xfId="35544"/>
    <cellStyle name="Percent 3 7 2 5 2 2" xfId="35545"/>
    <cellStyle name="Percent 3 7 2 5 3" xfId="35546"/>
    <cellStyle name="Percent 3 7 2 6" xfId="35547"/>
    <cellStyle name="Percent 3 7 2 6 2" xfId="35548"/>
    <cellStyle name="Percent 3 7 2 6 2 2" xfId="35549"/>
    <cellStyle name="Percent 3 7 2 6 3" xfId="35550"/>
    <cellStyle name="Percent 3 7 2 7" xfId="35551"/>
    <cellStyle name="Percent 3 7 2 7 2" xfId="35552"/>
    <cellStyle name="Percent 3 7 2 8" xfId="35553"/>
    <cellStyle name="Percent 3 7 2 8 2" xfId="37565"/>
    <cellStyle name="Percent 3 7 2 9" xfId="35554"/>
    <cellStyle name="Percent 3 7 3" xfId="35555"/>
    <cellStyle name="Percent 3 7 3 2" xfId="35556"/>
    <cellStyle name="Percent 3 7 3 2 2" xfId="35557"/>
    <cellStyle name="Percent 3 7 3 2 2 2" xfId="35558"/>
    <cellStyle name="Percent 3 7 3 2 2 2 2" xfId="35559"/>
    <cellStyle name="Percent 3 7 3 2 2 2 3" xfId="35560"/>
    <cellStyle name="Percent 3 7 3 2 2 3" xfId="35561"/>
    <cellStyle name="Percent 3 7 3 2 2 3 2" xfId="35562"/>
    <cellStyle name="Percent 3 7 3 2 2 4" xfId="35563"/>
    <cellStyle name="Percent 3 7 3 2 3" xfId="35564"/>
    <cellStyle name="Percent 3 7 3 2 3 2" xfId="35565"/>
    <cellStyle name="Percent 3 7 3 2 3 2 2" xfId="35566"/>
    <cellStyle name="Percent 3 7 3 2 3 3" xfId="35567"/>
    <cellStyle name="Percent 3 7 3 2 4" xfId="35568"/>
    <cellStyle name="Percent 3 7 3 2 4 2" xfId="35569"/>
    <cellStyle name="Percent 3 7 3 2 4 3" xfId="35570"/>
    <cellStyle name="Percent 3 7 3 2 5" xfId="35571"/>
    <cellStyle name="Percent 3 7 3 2 5 2" xfId="35572"/>
    <cellStyle name="Percent 3 7 3 2 6" xfId="35573"/>
    <cellStyle name="Percent 3 7 3 2 6 2" xfId="37566"/>
    <cellStyle name="Percent 3 7 3 2 7" xfId="35574"/>
    <cellStyle name="Percent 3 7 3 3" xfId="35575"/>
    <cellStyle name="Percent 3 7 3 3 2" xfId="35576"/>
    <cellStyle name="Percent 3 7 3 3 2 2" xfId="35577"/>
    <cellStyle name="Percent 3 7 3 3 2 2 2" xfId="35578"/>
    <cellStyle name="Percent 3 7 3 3 2 3" xfId="35579"/>
    <cellStyle name="Percent 3 7 3 3 3" xfId="35580"/>
    <cellStyle name="Percent 3 7 3 3 3 2" xfId="35581"/>
    <cellStyle name="Percent 3 7 3 3 4" xfId="35582"/>
    <cellStyle name="Percent 3 7 3 4" xfId="35583"/>
    <cellStyle name="Percent 3 7 3 4 2" xfId="35584"/>
    <cellStyle name="Percent 3 7 3 4 2 2" xfId="35585"/>
    <cellStyle name="Percent 3 7 3 4 3" xfId="35586"/>
    <cellStyle name="Percent 3 7 3 5" xfId="35587"/>
    <cellStyle name="Percent 3 7 3 5 2" xfId="35588"/>
    <cellStyle name="Percent 3 7 3 5 2 2" xfId="35589"/>
    <cellStyle name="Percent 3 7 3 5 3" xfId="35590"/>
    <cellStyle name="Percent 3 7 3 6" xfId="35591"/>
    <cellStyle name="Percent 3 7 3 6 2" xfId="35592"/>
    <cellStyle name="Percent 3 7 3 7" xfId="35593"/>
    <cellStyle name="Percent 3 7 3 7 2" xfId="37567"/>
    <cellStyle name="Percent 3 7 3 8" xfId="35594"/>
    <cellStyle name="Percent 3 7 4" xfId="35595"/>
    <cellStyle name="Percent 3 7 4 2" xfId="35596"/>
    <cellStyle name="Percent 3 7 4 2 2" xfId="35597"/>
    <cellStyle name="Percent 3 7 4 2 2 2" xfId="35598"/>
    <cellStyle name="Percent 3 7 4 2 2 3" xfId="35599"/>
    <cellStyle name="Percent 3 7 4 2 3" xfId="35600"/>
    <cellStyle name="Percent 3 7 4 2 3 2" xfId="35601"/>
    <cellStyle name="Percent 3 7 4 2 4" xfId="35602"/>
    <cellStyle name="Percent 3 7 4 3" xfId="35603"/>
    <cellStyle name="Percent 3 7 4 3 2" xfId="35604"/>
    <cellStyle name="Percent 3 7 4 3 2 2" xfId="35605"/>
    <cellStyle name="Percent 3 7 4 3 3" xfId="35606"/>
    <cellStyle name="Percent 3 7 4 4" xfId="35607"/>
    <cellStyle name="Percent 3 7 4 4 2" xfId="35608"/>
    <cellStyle name="Percent 3 7 4 4 3" xfId="35609"/>
    <cellStyle name="Percent 3 7 4 5" xfId="35610"/>
    <cellStyle name="Percent 3 7 4 5 2" xfId="35611"/>
    <cellStyle name="Percent 3 7 4 6" xfId="35612"/>
    <cellStyle name="Percent 3 7 4 6 2" xfId="37568"/>
    <cellStyle name="Percent 3 7 4 7" xfId="35613"/>
    <cellStyle name="Percent 3 7 5" xfId="35614"/>
    <cellStyle name="Percent 3 7 5 2" xfId="35615"/>
    <cellStyle name="Percent 3 7 5 2 2" xfId="35616"/>
    <cellStyle name="Percent 3 7 5 2 2 2" xfId="35617"/>
    <cellStyle name="Percent 3 7 5 2 3" xfId="35618"/>
    <cellStyle name="Percent 3 7 5 3" xfId="35619"/>
    <cellStyle name="Percent 3 7 5 3 2" xfId="35620"/>
    <cellStyle name="Percent 3 7 5 4" xfId="35621"/>
    <cellStyle name="Percent 3 7 6" xfId="35622"/>
    <cellStyle name="Percent 3 7 6 2" xfId="35623"/>
    <cellStyle name="Percent 3 7 6 2 2" xfId="35624"/>
    <cellStyle name="Percent 3 7 6 3" xfId="35625"/>
    <cellStyle name="Percent 3 7 7" xfId="35626"/>
    <cellStyle name="Percent 3 7 7 2" xfId="35627"/>
    <cellStyle name="Percent 3 7 7 2 2" xfId="35628"/>
    <cellStyle name="Percent 3 7 7 3" xfId="35629"/>
    <cellStyle name="Percent 3 7 8" xfId="35630"/>
    <cellStyle name="Percent 3 7 8 2" xfId="35631"/>
    <cellStyle name="Percent 3 7 9" xfId="35632"/>
    <cellStyle name="Percent 3 7 9 2" xfId="37569"/>
    <cellStyle name="Percent 3 8" xfId="35633"/>
    <cellStyle name="Percent 3 8 2" xfId="35634"/>
    <cellStyle name="Percent 3 8 2 2" xfId="35635"/>
    <cellStyle name="Percent 3 8 2 2 2" xfId="35636"/>
    <cellStyle name="Percent 3 8 2 2 2 2" xfId="35637"/>
    <cellStyle name="Percent 3 8 2 2 2 2 2" xfId="35638"/>
    <cellStyle name="Percent 3 8 2 2 2 2 3" xfId="35639"/>
    <cellStyle name="Percent 3 8 2 2 2 3" xfId="35640"/>
    <cellStyle name="Percent 3 8 2 2 2 3 2" xfId="35641"/>
    <cellStyle name="Percent 3 8 2 2 2 4" xfId="35642"/>
    <cellStyle name="Percent 3 8 2 2 3" xfId="35643"/>
    <cellStyle name="Percent 3 8 2 2 3 2" xfId="35644"/>
    <cellStyle name="Percent 3 8 2 2 3 2 2" xfId="35645"/>
    <cellStyle name="Percent 3 8 2 2 3 3" xfId="35646"/>
    <cellStyle name="Percent 3 8 2 2 4" xfId="35647"/>
    <cellStyle name="Percent 3 8 2 2 4 2" xfId="35648"/>
    <cellStyle name="Percent 3 8 2 2 4 3" xfId="35649"/>
    <cellStyle name="Percent 3 8 2 2 5" xfId="35650"/>
    <cellStyle name="Percent 3 8 2 2 5 2" xfId="35651"/>
    <cellStyle name="Percent 3 8 2 2 6" xfId="35652"/>
    <cellStyle name="Percent 3 8 2 2 6 2" xfId="37570"/>
    <cellStyle name="Percent 3 8 2 2 7" xfId="35653"/>
    <cellStyle name="Percent 3 8 2 3" xfId="35654"/>
    <cellStyle name="Percent 3 8 2 3 2" xfId="35655"/>
    <cellStyle name="Percent 3 8 2 3 2 2" xfId="35656"/>
    <cellStyle name="Percent 3 8 2 3 2 2 2" xfId="35657"/>
    <cellStyle name="Percent 3 8 2 3 2 3" xfId="35658"/>
    <cellStyle name="Percent 3 8 2 3 3" xfId="35659"/>
    <cellStyle name="Percent 3 8 2 3 3 2" xfId="35660"/>
    <cellStyle name="Percent 3 8 2 3 4" xfId="35661"/>
    <cellStyle name="Percent 3 8 2 4" xfId="35662"/>
    <cellStyle name="Percent 3 8 2 4 2" xfId="35663"/>
    <cellStyle name="Percent 3 8 2 4 2 2" xfId="35664"/>
    <cellStyle name="Percent 3 8 2 4 3" xfId="35665"/>
    <cellStyle name="Percent 3 8 2 5" xfId="35666"/>
    <cellStyle name="Percent 3 8 2 5 2" xfId="35667"/>
    <cellStyle name="Percent 3 8 2 5 2 2" xfId="35668"/>
    <cellStyle name="Percent 3 8 2 5 3" xfId="35669"/>
    <cellStyle name="Percent 3 8 2 6" xfId="35670"/>
    <cellStyle name="Percent 3 8 2 6 2" xfId="35671"/>
    <cellStyle name="Percent 3 8 2 7" xfId="35672"/>
    <cellStyle name="Percent 3 8 2 7 2" xfId="37571"/>
    <cellStyle name="Percent 3 8 2 8" xfId="35673"/>
    <cellStyle name="Percent 3 8 3" xfId="35674"/>
    <cellStyle name="Percent 3 8 3 2" xfId="35675"/>
    <cellStyle name="Percent 3 8 3 2 2" xfId="35676"/>
    <cellStyle name="Percent 3 8 3 2 2 2" xfId="35677"/>
    <cellStyle name="Percent 3 8 3 2 2 3" xfId="35678"/>
    <cellStyle name="Percent 3 8 3 2 3" xfId="35679"/>
    <cellStyle name="Percent 3 8 3 2 3 2" xfId="35680"/>
    <cellStyle name="Percent 3 8 3 2 4" xfId="35681"/>
    <cellStyle name="Percent 3 8 3 3" xfId="35682"/>
    <cellStyle name="Percent 3 8 3 3 2" xfId="35683"/>
    <cellStyle name="Percent 3 8 3 3 2 2" xfId="35684"/>
    <cellStyle name="Percent 3 8 3 3 3" xfId="35685"/>
    <cellStyle name="Percent 3 8 3 4" xfId="35686"/>
    <cellStyle name="Percent 3 8 3 4 2" xfId="35687"/>
    <cellStyle name="Percent 3 8 3 4 3" xfId="35688"/>
    <cellStyle name="Percent 3 8 3 5" xfId="35689"/>
    <cellStyle name="Percent 3 8 3 5 2" xfId="35690"/>
    <cellStyle name="Percent 3 8 3 6" xfId="35691"/>
    <cellStyle name="Percent 3 8 3 6 2" xfId="37572"/>
    <cellStyle name="Percent 3 8 3 7" xfId="35692"/>
    <cellStyle name="Percent 3 8 4" xfId="35693"/>
    <cellStyle name="Percent 3 8 4 2" xfId="35694"/>
    <cellStyle name="Percent 3 8 4 2 2" xfId="35695"/>
    <cellStyle name="Percent 3 8 4 2 2 2" xfId="35696"/>
    <cellStyle name="Percent 3 8 4 2 3" xfId="35697"/>
    <cellStyle name="Percent 3 8 4 3" xfId="35698"/>
    <cellStyle name="Percent 3 8 4 3 2" xfId="35699"/>
    <cellStyle name="Percent 3 8 4 4" xfId="35700"/>
    <cellStyle name="Percent 3 8 5" xfId="35701"/>
    <cellStyle name="Percent 3 8 5 2" xfId="35702"/>
    <cellStyle name="Percent 3 8 5 2 2" xfId="35703"/>
    <cellStyle name="Percent 3 8 5 3" xfId="35704"/>
    <cellStyle name="Percent 3 8 6" xfId="35705"/>
    <cellStyle name="Percent 3 8 6 2" xfId="35706"/>
    <cellStyle name="Percent 3 8 6 2 2" xfId="35707"/>
    <cellStyle name="Percent 3 8 6 3" xfId="35708"/>
    <cellStyle name="Percent 3 8 7" xfId="35709"/>
    <cellStyle name="Percent 3 8 7 2" xfId="35710"/>
    <cellStyle name="Percent 3 8 8" xfId="35711"/>
    <cellStyle name="Percent 3 8 8 2" xfId="37573"/>
    <cellStyle name="Percent 3 8 9" xfId="35712"/>
    <cellStyle name="Percent 3 9" xfId="35713"/>
    <cellStyle name="Percent 3 9 2" xfId="35714"/>
    <cellStyle name="Percent 3 9 2 2" xfId="35715"/>
    <cellStyle name="Percent 3 9 2 2 2" xfId="35716"/>
    <cellStyle name="Percent 3 9 2 2 2 2" xfId="35717"/>
    <cellStyle name="Percent 3 9 2 2 2 2 2" xfId="35718"/>
    <cellStyle name="Percent 3 9 2 2 2 2 3" xfId="35719"/>
    <cellStyle name="Percent 3 9 2 2 2 3" xfId="35720"/>
    <cellStyle name="Percent 3 9 2 2 2 3 2" xfId="35721"/>
    <cellStyle name="Percent 3 9 2 2 2 4" xfId="35722"/>
    <cellStyle name="Percent 3 9 2 2 3" xfId="35723"/>
    <cellStyle name="Percent 3 9 2 2 3 2" xfId="35724"/>
    <cellStyle name="Percent 3 9 2 2 3 2 2" xfId="35725"/>
    <cellStyle name="Percent 3 9 2 2 3 3" xfId="35726"/>
    <cellStyle name="Percent 3 9 2 2 4" xfId="35727"/>
    <cellStyle name="Percent 3 9 2 2 4 2" xfId="35728"/>
    <cellStyle name="Percent 3 9 2 2 4 3" xfId="35729"/>
    <cellStyle name="Percent 3 9 2 2 5" xfId="35730"/>
    <cellStyle name="Percent 3 9 2 2 5 2" xfId="35731"/>
    <cellStyle name="Percent 3 9 2 2 6" xfId="35732"/>
    <cellStyle name="Percent 3 9 2 2 6 2" xfId="37574"/>
    <cellStyle name="Percent 3 9 2 2 7" xfId="35733"/>
    <cellStyle name="Percent 3 9 2 3" xfId="35734"/>
    <cellStyle name="Percent 3 9 2 3 2" xfId="35735"/>
    <cellStyle name="Percent 3 9 2 3 2 2" xfId="35736"/>
    <cellStyle name="Percent 3 9 2 3 2 2 2" xfId="35737"/>
    <cellStyle name="Percent 3 9 2 3 2 3" xfId="35738"/>
    <cellStyle name="Percent 3 9 2 3 3" xfId="35739"/>
    <cellStyle name="Percent 3 9 2 3 3 2" xfId="35740"/>
    <cellStyle name="Percent 3 9 2 3 4" xfId="35741"/>
    <cellStyle name="Percent 3 9 2 4" xfId="35742"/>
    <cellStyle name="Percent 3 9 2 4 2" xfId="35743"/>
    <cellStyle name="Percent 3 9 2 4 2 2" xfId="35744"/>
    <cellStyle name="Percent 3 9 2 4 3" xfId="35745"/>
    <cellStyle name="Percent 3 9 2 5" xfId="35746"/>
    <cellStyle name="Percent 3 9 2 5 2" xfId="35747"/>
    <cellStyle name="Percent 3 9 2 5 2 2" xfId="35748"/>
    <cellStyle name="Percent 3 9 2 5 3" xfId="35749"/>
    <cellStyle name="Percent 3 9 2 6" xfId="35750"/>
    <cellStyle name="Percent 3 9 2 6 2" xfId="35751"/>
    <cellStyle name="Percent 3 9 2 7" xfId="35752"/>
    <cellStyle name="Percent 3 9 2 7 2" xfId="37575"/>
    <cellStyle name="Percent 3 9 2 8" xfId="35753"/>
    <cellStyle name="Percent 3 9 3" xfId="35754"/>
    <cellStyle name="Percent 3 9 3 2" xfId="35755"/>
    <cellStyle name="Percent 3 9 3 2 2" xfId="35756"/>
    <cellStyle name="Percent 3 9 3 2 2 2" xfId="35757"/>
    <cellStyle name="Percent 3 9 3 2 2 3" xfId="35758"/>
    <cellStyle name="Percent 3 9 3 2 3" xfId="35759"/>
    <cellStyle name="Percent 3 9 3 2 3 2" xfId="35760"/>
    <cellStyle name="Percent 3 9 3 2 4" xfId="35761"/>
    <cellStyle name="Percent 3 9 3 3" xfId="35762"/>
    <cellStyle name="Percent 3 9 3 3 2" xfId="35763"/>
    <cellStyle name="Percent 3 9 3 3 2 2" xfId="35764"/>
    <cellStyle name="Percent 3 9 3 3 3" xfId="35765"/>
    <cellStyle name="Percent 3 9 3 4" xfId="35766"/>
    <cellStyle name="Percent 3 9 3 4 2" xfId="35767"/>
    <cellStyle name="Percent 3 9 3 4 3" xfId="35768"/>
    <cellStyle name="Percent 3 9 3 5" xfId="35769"/>
    <cellStyle name="Percent 3 9 3 5 2" xfId="35770"/>
    <cellStyle name="Percent 3 9 3 6" xfId="35771"/>
    <cellStyle name="Percent 3 9 3 6 2" xfId="37576"/>
    <cellStyle name="Percent 3 9 3 7" xfId="35772"/>
    <cellStyle name="Percent 3 9 4" xfId="35773"/>
    <cellStyle name="Percent 3 9 4 2" xfId="35774"/>
    <cellStyle name="Percent 3 9 4 2 2" xfId="35775"/>
    <cellStyle name="Percent 3 9 4 2 2 2" xfId="35776"/>
    <cellStyle name="Percent 3 9 4 2 3" xfId="35777"/>
    <cellStyle name="Percent 3 9 4 3" xfId="35778"/>
    <cellStyle name="Percent 3 9 4 3 2" xfId="35779"/>
    <cellStyle name="Percent 3 9 4 4" xfId="35780"/>
    <cellStyle name="Percent 3 9 5" xfId="35781"/>
    <cellStyle name="Percent 3 9 5 2" xfId="35782"/>
    <cellStyle name="Percent 3 9 5 2 2" xfId="35783"/>
    <cellStyle name="Percent 3 9 5 3" xfId="35784"/>
    <cellStyle name="Percent 3 9 6" xfId="35785"/>
    <cellStyle name="Percent 3 9 6 2" xfId="35786"/>
    <cellStyle name="Percent 3 9 6 2 2" xfId="35787"/>
    <cellStyle name="Percent 3 9 6 3" xfId="35788"/>
    <cellStyle name="Percent 3 9 7" xfId="35789"/>
    <cellStyle name="Percent 3 9 7 2" xfId="35790"/>
    <cellStyle name="Percent 3 9 8" xfId="35791"/>
    <cellStyle name="Percent 3 9 8 2" xfId="37577"/>
    <cellStyle name="Percent 3 9 9" xfId="35792"/>
    <cellStyle name="Percent 4" xfId="152"/>
    <cellStyle name="Percent 5" xfId="153"/>
    <cellStyle name="Percent 6" xfId="154"/>
    <cellStyle name="Percent 7" xfId="155"/>
    <cellStyle name="Percent 8" xfId="156"/>
    <cellStyle name="Percent 9" xfId="157"/>
    <cellStyle name="SAPBEXaggData" xfId="37710"/>
    <cellStyle name="SAPBEXaggDataEmph" xfId="37711"/>
    <cellStyle name="SAPBEXaggItem" xfId="37712"/>
    <cellStyle name="SAPBEXaggItemX" xfId="37713"/>
    <cellStyle name="SAPBEXchaText" xfId="37714"/>
    <cellStyle name="SAPBEXexcBad7" xfId="37715"/>
    <cellStyle name="SAPBEXexcBad8" xfId="37716"/>
    <cellStyle name="SAPBEXexcBad9" xfId="37717"/>
    <cellStyle name="SAPBEXexcCritical4" xfId="37718"/>
    <cellStyle name="SAPBEXexcCritical5" xfId="37719"/>
    <cellStyle name="SAPBEXexcCritical6" xfId="37720"/>
    <cellStyle name="SAPBEXexcGood1" xfId="37721"/>
    <cellStyle name="SAPBEXexcGood2" xfId="37722"/>
    <cellStyle name="SAPBEXexcGood3" xfId="37723"/>
    <cellStyle name="SAPBEXfilterDrill" xfId="37724"/>
    <cellStyle name="SAPBEXfilterItem" xfId="37725"/>
    <cellStyle name="SAPBEXfilterText" xfId="37726"/>
    <cellStyle name="SAPBEXformats" xfId="37727"/>
    <cellStyle name="SAPBEXheaderItem" xfId="37728"/>
    <cellStyle name="SAPBEXheaderText" xfId="37729"/>
    <cellStyle name="SAPBEXHLevel0" xfId="37730"/>
    <cellStyle name="SAPBEXHLevel0X" xfId="37731"/>
    <cellStyle name="SAPBEXHLevel1" xfId="37732"/>
    <cellStyle name="SAPBEXHLevel1X" xfId="37733"/>
    <cellStyle name="SAPBEXHLevel2" xfId="37734"/>
    <cellStyle name="SAPBEXHLevel2X" xfId="37735"/>
    <cellStyle name="SAPBEXHLevel3" xfId="37736"/>
    <cellStyle name="SAPBEXHLevel3X" xfId="37737"/>
    <cellStyle name="SAPBEXinputData" xfId="37738"/>
    <cellStyle name="SAPBEXresData" xfId="37739"/>
    <cellStyle name="SAPBEXresDataEmph" xfId="37740"/>
    <cellStyle name="SAPBEXresItem" xfId="37741"/>
    <cellStyle name="SAPBEXresItemX" xfId="37742"/>
    <cellStyle name="SAPBEXstdData" xfId="37743"/>
    <cellStyle name="SAPBEXstdDataEmph" xfId="37744"/>
    <cellStyle name="SAPBEXstdItem" xfId="37745"/>
    <cellStyle name="SAPBEXstdItemX" xfId="37746"/>
    <cellStyle name="SAPBEXtitle" xfId="37747"/>
    <cellStyle name="SAPBEXundefined" xfId="37748"/>
    <cellStyle name="Sheet Title" xfId="37749"/>
    <cellStyle name="Style 1" xfId="158"/>
    <cellStyle name="Style 21" xfId="37775"/>
    <cellStyle name="Style 22" xfId="37858"/>
    <cellStyle name="Style 22 2" xfId="37859"/>
    <cellStyle name="Style 23" xfId="37860"/>
    <cellStyle name="Style 24" xfId="37861"/>
    <cellStyle name="Style 24 2" xfId="37862"/>
    <cellStyle name="Style 25" xfId="37863"/>
    <cellStyle name="Style 26" xfId="37864"/>
    <cellStyle name="Style 27" xfId="37865"/>
    <cellStyle name="Style 28" xfId="37866"/>
    <cellStyle name="Style 29" xfId="37867"/>
    <cellStyle name="Style 30" xfId="37868"/>
    <cellStyle name="Style 31" xfId="37869"/>
    <cellStyle name="Style 32" xfId="37870"/>
    <cellStyle name="Style 33" xfId="37871"/>
    <cellStyle name="Style 34" xfId="37872"/>
    <cellStyle name="Style 35" xfId="37873"/>
    <cellStyle name="Style 36" xfId="37874"/>
    <cellStyle name="Style 37" xfId="37875"/>
    <cellStyle name="Style 38" xfId="37876"/>
    <cellStyle name="Subtitle" xfId="159"/>
    <cellStyle name="Table" xfId="160"/>
    <cellStyle name="Title" xfId="161" builtinId="15" customBuiltin="1"/>
    <cellStyle name="Title 2" xfId="37750"/>
    <cellStyle name="Title 3" xfId="37751"/>
    <cellStyle name="Title 4" xfId="37752"/>
    <cellStyle name="Title 5" xfId="37753"/>
    <cellStyle name="Title 6" xfId="37877"/>
    <cellStyle name="Total" xfId="162" builtinId="25" customBuiltin="1"/>
    <cellStyle name="Total 10" xfId="163"/>
    <cellStyle name="Total 11" xfId="164"/>
    <cellStyle name="Total 12" xfId="165"/>
    <cellStyle name="Total 13" xfId="166"/>
    <cellStyle name="Total 14" xfId="167"/>
    <cellStyle name="Total 15" xfId="37878"/>
    <cellStyle name="Total 2" xfId="168"/>
    <cellStyle name="Total 3" xfId="169"/>
    <cellStyle name="Total 4" xfId="170"/>
    <cellStyle name="Total 5" xfId="171"/>
    <cellStyle name="Total 6" xfId="172"/>
    <cellStyle name="Total 7" xfId="173"/>
    <cellStyle name="Total 8" xfId="174"/>
    <cellStyle name="Total 9" xfId="175"/>
    <cellStyle name="Warning Text" xfId="176" builtinId="11" customBuiltin="1"/>
    <cellStyle name="Warning Text 2" xfId="35793"/>
    <cellStyle name="Warning Text 3" xfId="37754"/>
    <cellStyle name="Warning Text 4" xfId="37755"/>
    <cellStyle name="Warning Text 5" xfId="37756"/>
    <cellStyle name="Warning Text 6" xfId="37879"/>
    <cellStyle name="Yellow" xfId="35794"/>
  </cellStyles>
  <dxfs count="30">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0000"/>
        </patternFill>
      </fill>
    </dxf>
    <dxf>
      <fill>
        <patternFill>
          <bgColor theme="4" tint="0.79998168889431442"/>
        </patternFill>
      </fill>
    </dxf>
    <dxf>
      <fill>
        <patternFill>
          <bgColor theme="4" tint="0.79998168889431442"/>
        </patternFill>
      </fill>
    </dxf>
    <dxf>
      <fill>
        <patternFill>
          <bgColor theme="4" tint="0.79998168889431442"/>
        </patternFill>
      </fill>
    </dxf>
    <dxf>
      <font>
        <condense val="0"/>
        <extend val="0"/>
        <color indexed="22"/>
      </font>
    </dxf>
    <dxf>
      <font>
        <condense val="0"/>
        <extend val="0"/>
        <color indexed="22"/>
      </font>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theme="6" tint="0.59996337778862885"/>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theme="6"/>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0000FF"/>
      <color rgb="FF660066"/>
      <color rgb="FF000066"/>
      <color rgb="FFFFFF99"/>
      <color rgb="FF008000"/>
      <color rgb="FF006600"/>
      <color rgb="FFCCFFCC"/>
      <color rgb="FF99FF99"/>
      <color rgb="FF99FFCC"/>
      <color rgb="FF00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kuznecow/AppData/Local/Microsoft/Windows/Temporary%20Internet%20Files/Content.Outlook/BJPCU9IG/ISO-NE%20ORTP%20Analysis%20-%20Capital%20Budgeting%20Model%20-%20Sept%204%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so-ne.com/Documents%20and%20Settings/robert.greneman/Local%20Settings/Temporary%20Internet%20Files/Content.Outlook/ME5D9X42/Benchmark%20Model%206-20-11%200100P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so-ne.com/Documents%20and%20Settings/akuznecow/Local%20Settings/Temporary%20Internet%20Files/Content.Outlook/04UXZ3IV/Benchmark%20Model%206-27-11%20(mdm).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kuznecow/AppData/Local/Microsoft/Windows/Temporary%20Internet%20Files/Content.Outlook/BJPCU9IG/ISO-NE%20ORTP%20Analysis%20-%20Capital%20Budgeting%20Model%20-%20July%2031%20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Users\Robert%20Carlton\AppData\Local\Microsoft\Windows\Temporary%20Internet%20Files\Content.Outlook\VBE0TVOU\SC\Brattle%202x0%207FA.05%20Location%201%20Dual%20Fuel%20w%20SCR%207-28-2011%20Rev%20H.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TP Summary"/>
      <sheetName val="Screening Analysis"/>
      <sheetName val="Annual Update Instructions"/>
      <sheetName val="Generation&gt;&gt;"/>
      <sheetName val="CONE Calcs"/>
      <sheetName val="Construction Cashflows"/>
      <sheetName val="Annual Updates Calcs"/>
      <sheetName val="Generation Data&gt;&gt;&gt;"/>
      <sheetName val="Unit Specifications"/>
      <sheetName val="Capital Costs"/>
      <sheetName val="O&amp;M Costs"/>
      <sheetName val="Cost Assumptions"/>
      <sheetName val="Interconnection Costs"/>
      <sheetName val="Capital Drawdown Schedule"/>
      <sheetName val="Tax Depreciation"/>
      <sheetName val="Revenue Offsets"/>
      <sheetName val="Screening Costs"/>
      <sheetName val="Cost Index Data"/>
      <sheetName val="Revenue Calcs&gt;&gt;"/>
      <sheetName val="Annual Results"/>
      <sheetName val="Margin Forecast"/>
      <sheetName val="Futures Prices"/>
      <sheetName val="Historical Prices"/>
      <sheetName val="DR&gt;&gt;"/>
      <sheetName val="Mass Market"/>
      <sheetName val="Large C&amp;I"/>
      <sheetName val="EE&gt;&gt;"/>
      <sheetName val="EE ORTP Calc"/>
      <sheetName val="EE Savings"/>
      <sheetName val="EE Programs"/>
      <sheetName val="State Programs Summary"/>
      <sheetName val="MA raw"/>
      <sheetName val="VT raw"/>
      <sheetName val="NH raw"/>
      <sheetName val="ME raw"/>
      <sheetName val="CT CLP raw"/>
      <sheetName val="CT UI raw"/>
      <sheetName val="RI raw"/>
      <sheetName val="Report&gt;&gt;"/>
      <sheetName val="ORTP Calc Summary"/>
      <sheetName val="Capital Costs Summary"/>
      <sheetName val="Index Summary"/>
      <sheetName val="Shaw Comparison"/>
      <sheetName val="EE Table"/>
      <sheetName val="DR Table"/>
      <sheetName val="State Tax"/>
    </sheetNames>
    <sheetDataSet>
      <sheetData sheetId="0" refreshError="1"/>
      <sheetData sheetId="1"/>
      <sheetData sheetId="2" refreshError="1"/>
      <sheetData sheetId="3" refreshError="1"/>
      <sheetData sheetId="4">
        <row r="6">
          <cell r="D6" t="str">
            <v>Solar</v>
          </cell>
        </row>
        <row r="16">
          <cell r="D16">
            <v>2704.6945686324916</v>
          </cell>
        </row>
        <row r="18">
          <cell r="D18">
            <v>2238.1591513276562</v>
          </cell>
        </row>
        <row r="32">
          <cell r="D32">
            <v>6.2307243261639256</v>
          </cell>
        </row>
        <row r="34">
          <cell r="D34">
            <v>0</v>
          </cell>
        </row>
        <row r="43">
          <cell r="D43">
            <v>2.2499999999999999E-2</v>
          </cell>
        </row>
      </sheetData>
      <sheetData sheetId="5" refreshError="1"/>
      <sheetData sheetId="6" refreshError="1"/>
      <sheetData sheetId="7" refreshError="1"/>
      <sheetData sheetId="8"/>
      <sheetData sheetId="9">
        <row r="2">
          <cell r="E2" t="str">
            <v>CT_2013$</v>
          </cell>
          <cell r="F2" t="str">
            <v>CC_2013$</v>
          </cell>
          <cell r="G2" t="str">
            <v>Wind_2013$</v>
          </cell>
          <cell r="H2" t="str">
            <v>Solar_2013$</v>
          </cell>
          <cell r="M2" t="str">
            <v>CT_2018$</v>
          </cell>
          <cell r="N2" t="str">
            <v>CC_2018$</v>
          </cell>
          <cell r="O2" t="str">
            <v>Wind_2018$</v>
          </cell>
          <cell r="P2" t="str">
            <v>Solar_2018$</v>
          </cell>
        </row>
        <row r="9">
          <cell r="B9" t="str">
            <v>Units</v>
          </cell>
          <cell r="E9" t="str">
            <v>Reference Year Overnight Costs (2013$)</v>
          </cell>
          <cell r="F9" t="str">
            <v>Reference Year Overnight Costs (2013$)</v>
          </cell>
          <cell r="G9" t="str">
            <v>Reference Year Overnight Costs (2013$)</v>
          </cell>
          <cell r="H9" t="str">
            <v>Reference Year Overnight Costs (2013$)</v>
          </cell>
          <cell r="M9" t="str">
            <v>Reference Year Overnight Costs (2018$)</v>
          </cell>
          <cell r="N9" t="str">
            <v>Reference Year Overnight Costs (2018$)</v>
          </cell>
          <cell r="O9" t="str">
            <v>Reference Year Overnight Costs (2018$)</v>
          </cell>
          <cell r="P9" t="str">
            <v>Reference Year Overnight Costs (2018$)</v>
          </cell>
        </row>
        <row r="10">
          <cell r="B10" t="str">
            <v>Technology</v>
          </cell>
          <cell r="D10" t="str">
            <v>How Estimated</v>
          </cell>
          <cell r="E10" t="str">
            <v>Combustion Turbine</v>
          </cell>
          <cell r="F10" t="str">
            <v>Combined Cycle Gas Turbine</v>
          </cell>
          <cell r="G10" t="str">
            <v>On-Shore Wind</v>
          </cell>
          <cell r="H10" t="str">
            <v>Solar PV</v>
          </cell>
          <cell r="J10" t="str">
            <v>Annual Escalation Rate</v>
          </cell>
          <cell r="K10" t="str">
            <v>Inflation Adder</v>
          </cell>
          <cell r="M10" t="str">
            <v>Combustion Turbine</v>
          </cell>
          <cell r="N10" t="str">
            <v>Combined Cycle Gas Turbine</v>
          </cell>
          <cell r="O10" t="str">
            <v>On-Shore Wind</v>
          </cell>
          <cell r="P10" t="str">
            <v>Solar PV</v>
          </cell>
        </row>
        <row r="11">
          <cell r="B11" t="str">
            <v>Plant Capacity (MW)</v>
          </cell>
          <cell r="E11">
            <v>192.34200000000001</v>
          </cell>
          <cell r="F11">
            <v>729.6</v>
          </cell>
          <cell r="G11">
            <v>59.940000000000005</v>
          </cell>
          <cell r="H11">
            <v>6</v>
          </cell>
          <cell r="M11">
            <v>192.34200000000001</v>
          </cell>
          <cell r="N11">
            <v>729.6</v>
          </cell>
          <cell r="O11">
            <v>59.940000000000005</v>
          </cell>
          <cell r="P11">
            <v>6</v>
          </cell>
        </row>
        <row r="14">
          <cell r="B14" t="str">
            <v>EPC Costs</v>
          </cell>
        </row>
        <row r="15">
          <cell r="B15" t="str">
            <v>Equipment</v>
          </cell>
          <cell r="D15" t="str">
            <v>Bottom-Up</v>
          </cell>
        </row>
        <row r="16">
          <cell r="B16" t="str">
            <v>Gas Turbines</v>
          </cell>
          <cell r="D16" t="str">
            <v>Bottom-Up</v>
          </cell>
          <cell r="E16">
            <v>77500000</v>
          </cell>
          <cell r="F16">
            <v>90000000</v>
          </cell>
          <cell r="G16">
            <v>0</v>
          </cell>
          <cell r="H16">
            <v>0</v>
          </cell>
          <cell r="J16">
            <v>2.6499999999999999E-2</v>
          </cell>
          <cell r="K16">
            <v>4.0000000000000001E-3</v>
          </cell>
          <cell r="M16">
            <v>88328000</v>
          </cell>
          <cell r="N16">
            <v>102574000</v>
          </cell>
          <cell r="O16">
            <v>0</v>
          </cell>
        </row>
        <row r="17">
          <cell r="B17" t="str">
            <v>Boiler / HRSG / SCR</v>
          </cell>
          <cell r="D17" t="str">
            <v>Bottom-Up</v>
          </cell>
          <cell r="E17">
            <v>14000000</v>
          </cell>
          <cell r="F17">
            <v>43000000</v>
          </cell>
          <cell r="G17">
            <v>0</v>
          </cell>
          <cell r="H17">
            <v>0</v>
          </cell>
          <cell r="J17">
            <v>2.6499999999999999E-2</v>
          </cell>
          <cell r="K17">
            <v>4.0000000000000001E-3</v>
          </cell>
          <cell r="M17">
            <v>15956000</v>
          </cell>
          <cell r="N17">
            <v>49008000</v>
          </cell>
          <cell r="O17">
            <v>0</v>
          </cell>
        </row>
        <row r="18">
          <cell r="B18" t="str">
            <v>Condenser</v>
          </cell>
          <cell r="D18" t="str">
            <v>Bottom-Up</v>
          </cell>
          <cell r="E18">
            <v>0</v>
          </cell>
          <cell r="F18">
            <v>26900000</v>
          </cell>
          <cell r="G18">
            <v>0</v>
          </cell>
          <cell r="H18">
            <v>0</v>
          </cell>
          <cell r="J18">
            <v>2.6499999999999999E-2</v>
          </cell>
          <cell r="K18">
            <v>4.0000000000000001E-3</v>
          </cell>
          <cell r="M18">
            <v>0</v>
          </cell>
          <cell r="N18">
            <v>30658000</v>
          </cell>
          <cell r="O18">
            <v>0</v>
          </cell>
        </row>
        <row r="19">
          <cell r="B19" t="str">
            <v>Steam Turbines</v>
          </cell>
          <cell r="D19" t="str">
            <v>Bottom-Up</v>
          </cell>
          <cell r="E19">
            <v>0</v>
          </cell>
          <cell r="F19">
            <v>36000000</v>
          </cell>
          <cell r="G19">
            <v>0</v>
          </cell>
          <cell r="H19">
            <v>0</v>
          </cell>
          <cell r="J19">
            <v>2.6499999999999999E-2</v>
          </cell>
          <cell r="K19">
            <v>4.0000000000000001E-3</v>
          </cell>
          <cell r="M19">
            <v>0</v>
          </cell>
          <cell r="N19">
            <v>41030000</v>
          </cell>
          <cell r="O19">
            <v>0</v>
          </cell>
        </row>
        <row r="20">
          <cell r="B20" t="str">
            <v>Wind Turbines</v>
          </cell>
          <cell r="D20" t="str">
            <v>Bottom-Up</v>
          </cell>
          <cell r="E20">
            <v>0</v>
          </cell>
          <cell r="F20">
            <v>0</v>
          </cell>
          <cell r="G20">
            <v>77922000</v>
          </cell>
          <cell r="H20">
            <v>0</v>
          </cell>
          <cell r="J20">
            <v>2.6499999999999999E-2</v>
          </cell>
          <cell r="K20">
            <v>4.0000000000000001E-3</v>
          </cell>
          <cell r="M20">
            <v>0</v>
          </cell>
          <cell r="N20">
            <v>0</v>
          </cell>
          <cell r="O20">
            <v>88809000</v>
          </cell>
        </row>
        <row r="21">
          <cell r="B21" t="str">
            <v>Solar PV Modules</v>
          </cell>
          <cell r="E21">
            <v>0</v>
          </cell>
          <cell r="F21">
            <v>0</v>
          </cell>
          <cell r="G21">
            <v>0</v>
          </cell>
          <cell r="H21">
            <v>8100000</v>
          </cell>
          <cell r="M21">
            <v>0</v>
          </cell>
          <cell r="N21">
            <v>0</v>
          </cell>
          <cell r="O21">
            <v>0</v>
          </cell>
        </row>
        <row r="22">
          <cell r="B22" t="str">
            <v>Other Equipment</v>
          </cell>
          <cell r="D22" t="str">
            <v>Bottom-Up</v>
          </cell>
          <cell r="E22">
            <v>29013000</v>
          </cell>
          <cell r="F22">
            <v>50093000</v>
          </cell>
          <cell r="G22">
            <v>5994000</v>
          </cell>
          <cell r="H22">
            <v>0</v>
          </cell>
          <cell r="J22">
            <v>2.6499999999999999E-2</v>
          </cell>
          <cell r="K22">
            <v>4.0000000000000001E-3</v>
          </cell>
          <cell r="M22">
            <v>33066000</v>
          </cell>
          <cell r="N22">
            <v>57092000</v>
          </cell>
          <cell r="O22">
            <v>6831000</v>
          </cell>
        </row>
        <row r="23">
          <cell r="B23" t="str">
            <v>Equipment Subtotal</v>
          </cell>
          <cell r="E23">
            <v>120513000</v>
          </cell>
          <cell r="F23">
            <v>245993000</v>
          </cell>
          <cell r="G23">
            <v>83916000</v>
          </cell>
          <cell r="H23">
            <v>8100000</v>
          </cell>
          <cell r="J23" t="str">
            <v>---</v>
          </cell>
          <cell r="K23" t="str">
            <v>---</v>
          </cell>
          <cell r="M23">
            <v>137350000</v>
          </cell>
          <cell r="N23">
            <v>280362000</v>
          </cell>
          <cell r="O23">
            <v>95640000</v>
          </cell>
        </row>
        <row r="24">
          <cell r="B24" t="str">
            <v>Construction Labor</v>
          </cell>
          <cell r="D24" t="str">
            <v>Bottom-Up</v>
          </cell>
          <cell r="E24">
            <v>38612000</v>
          </cell>
          <cell r="F24">
            <v>154140000</v>
          </cell>
          <cell r="G24">
            <v>7193000</v>
          </cell>
          <cell r="H24">
            <v>2520000</v>
          </cell>
          <cell r="J24">
            <v>3.7499999999999999E-2</v>
          </cell>
          <cell r="K24">
            <v>1.4999999999999999E-2</v>
          </cell>
          <cell r="M24">
            <v>46415000</v>
          </cell>
          <cell r="N24">
            <v>185292000</v>
          </cell>
          <cell r="O24">
            <v>8647000</v>
          </cell>
        </row>
        <row r="25">
          <cell r="B25" t="str">
            <v xml:space="preserve">Other Labor </v>
          </cell>
          <cell r="D25" t="str">
            <v>Bottom-Up</v>
          </cell>
          <cell r="E25">
            <v>14121000</v>
          </cell>
          <cell r="F25">
            <v>36833000</v>
          </cell>
          <cell r="G25">
            <v>1798000</v>
          </cell>
          <cell r="H25">
            <v>1020000</v>
          </cell>
          <cell r="J25">
            <v>3.7499999999999999E-2</v>
          </cell>
          <cell r="K25">
            <v>1.4999999999999999E-2</v>
          </cell>
          <cell r="M25">
            <v>16975000</v>
          </cell>
          <cell r="N25">
            <v>44277000</v>
          </cell>
          <cell r="O25">
            <v>2161000</v>
          </cell>
        </row>
        <row r="26">
          <cell r="B26" t="str">
            <v>Materials</v>
          </cell>
          <cell r="D26" t="str">
            <v>Bottom-Up</v>
          </cell>
          <cell r="E26">
            <v>7007000</v>
          </cell>
          <cell r="F26">
            <v>33198000</v>
          </cell>
          <cell r="G26">
            <v>6593000</v>
          </cell>
          <cell r="H26">
            <v>2160000</v>
          </cell>
          <cell r="J26">
            <v>2.6499999999999999E-2</v>
          </cell>
          <cell r="K26">
            <v>4.0000000000000001E-3</v>
          </cell>
          <cell r="M26">
            <v>7986000</v>
          </cell>
          <cell r="N26">
            <v>37836000</v>
          </cell>
          <cell r="O26">
            <v>7514000</v>
          </cell>
        </row>
        <row r="27">
          <cell r="B27" t="str">
            <v>Sales Tax</v>
          </cell>
          <cell r="D27" t="str">
            <v>MA = 6.25%, ME = 5.00% of Equipment and Materials</v>
          </cell>
          <cell r="E27">
            <v>7970000</v>
          </cell>
          <cell r="F27">
            <v>17449000</v>
          </cell>
          <cell r="G27">
            <v>4525000</v>
          </cell>
          <cell r="J27" t="str">
            <v>---</v>
          </cell>
          <cell r="K27" t="str">
            <v>---</v>
          </cell>
          <cell r="M27">
            <v>9084000</v>
          </cell>
          <cell r="N27">
            <v>19887000</v>
          </cell>
          <cell r="O27">
            <v>5158000</v>
          </cell>
        </row>
        <row r="28">
          <cell r="B28" t="str">
            <v>EPC Contractor Fee</v>
          </cell>
          <cell r="D28" t="str">
            <v>CT/Wind = 10%, CC = 12% of other EPC costs</v>
          </cell>
          <cell r="E28">
            <v>18822000</v>
          </cell>
          <cell r="F28">
            <v>58514000</v>
          </cell>
          <cell r="G28">
            <v>10403000</v>
          </cell>
          <cell r="H28">
            <v>1380000</v>
          </cell>
          <cell r="J28" t="str">
            <v>---</v>
          </cell>
          <cell r="K28" t="str">
            <v>---</v>
          </cell>
          <cell r="M28">
            <v>21781000</v>
          </cell>
          <cell r="N28">
            <v>68118000</v>
          </cell>
          <cell r="O28">
            <v>11912000</v>
          </cell>
        </row>
        <row r="29">
          <cell r="B29" t="str">
            <v>EPC Contingency</v>
          </cell>
          <cell r="D29" t="str">
            <v>10% of EPC costs</v>
          </cell>
          <cell r="E29">
            <v>20705000</v>
          </cell>
          <cell r="F29">
            <v>54613000</v>
          </cell>
          <cell r="G29">
            <v>11443000</v>
          </cell>
          <cell r="H29">
            <v>1518000</v>
          </cell>
          <cell r="J29" t="str">
            <v>---</v>
          </cell>
          <cell r="K29" t="str">
            <v>---</v>
          </cell>
          <cell r="M29">
            <v>23959000</v>
          </cell>
          <cell r="N29">
            <v>63577000</v>
          </cell>
          <cell r="O29">
            <v>13103000</v>
          </cell>
        </row>
        <row r="30">
          <cell r="B30" t="str">
            <v>Total EPC Costs</v>
          </cell>
          <cell r="E30">
            <v>227750000</v>
          </cell>
          <cell r="F30">
            <v>600740000</v>
          </cell>
          <cell r="G30">
            <v>125871000</v>
          </cell>
          <cell r="H30">
            <v>16698000</v>
          </cell>
          <cell r="K30" t="str">
            <v>---</v>
          </cell>
          <cell r="M30">
            <v>263550000</v>
          </cell>
          <cell r="N30">
            <v>699349000</v>
          </cell>
          <cell r="O30">
            <v>144135000</v>
          </cell>
        </row>
        <row r="33">
          <cell r="B33" t="str">
            <v>Non-EPC Costs</v>
          </cell>
        </row>
        <row r="34">
          <cell r="B34" t="str">
            <v>Owner's Costs (Services)</v>
          </cell>
          <cell r="D34" t="str">
            <v>7% of EPC Costs</v>
          </cell>
          <cell r="E34">
            <v>15943000</v>
          </cell>
          <cell r="F34">
            <v>42052000</v>
          </cell>
          <cell r="G34">
            <v>8811000</v>
          </cell>
          <cell r="H34">
            <v>1169000</v>
          </cell>
          <cell r="J34" t="str">
            <v>---</v>
          </cell>
          <cell r="K34" t="str">
            <v>---</v>
          </cell>
          <cell r="M34">
            <v>18449000</v>
          </cell>
          <cell r="N34">
            <v>48954000</v>
          </cell>
          <cell r="O34">
            <v>10089000</v>
          </cell>
        </row>
        <row r="35">
          <cell r="B35" t="str">
            <v>Electrical Interconnection</v>
          </cell>
          <cell r="D35" t="str">
            <v>Bottom-Up</v>
          </cell>
          <cell r="E35">
            <v>4000000</v>
          </cell>
          <cell r="F35">
            <v>16000000</v>
          </cell>
          <cell r="G35">
            <v>19000000</v>
          </cell>
          <cell r="H35">
            <v>300000</v>
          </cell>
          <cell r="J35">
            <v>2.6499999999999999E-2</v>
          </cell>
          <cell r="K35">
            <v>4.0000000000000001E-3</v>
          </cell>
          <cell r="M35">
            <v>4559000</v>
          </cell>
          <cell r="N35">
            <v>18235000</v>
          </cell>
          <cell r="O35">
            <v>21655000</v>
          </cell>
        </row>
        <row r="36">
          <cell r="B36" t="str">
            <v>Gas Interconnection</v>
          </cell>
          <cell r="D36" t="str">
            <v>Bottom-Up</v>
          </cell>
          <cell r="E36">
            <v>3600000</v>
          </cell>
          <cell r="F36">
            <v>3600000</v>
          </cell>
          <cell r="G36">
            <v>0</v>
          </cell>
          <cell r="H36">
            <v>0</v>
          </cell>
          <cell r="J36">
            <v>2.6499999999999999E-2</v>
          </cell>
          <cell r="K36">
            <v>4.0000000000000001E-3</v>
          </cell>
          <cell r="M36">
            <v>4103000</v>
          </cell>
          <cell r="N36">
            <v>4103000</v>
          </cell>
          <cell r="O36">
            <v>0</v>
          </cell>
        </row>
        <row r="37">
          <cell r="B37" t="str">
            <v>Emission Reduction Credits</v>
          </cell>
          <cell r="D37" t="str">
            <v>None</v>
          </cell>
          <cell r="E37">
            <v>0</v>
          </cell>
          <cell r="F37">
            <v>0</v>
          </cell>
          <cell r="G37">
            <v>0</v>
          </cell>
          <cell r="H37">
            <v>0</v>
          </cell>
          <cell r="J37" t="str">
            <v>---</v>
          </cell>
          <cell r="K37" t="str">
            <v>---</v>
          </cell>
          <cell r="M37">
            <v>0</v>
          </cell>
          <cell r="N37">
            <v>0</v>
          </cell>
          <cell r="O37">
            <v>0</v>
          </cell>
        </row>
        <row r="38">
          <cell r="B38" t="str">
            <v>Land</v>
          </cell>
          <cell r="D38" t="str">
            <v>None</v>
          </cell>
          <cell r="E38">
            <v>0</v>
          </cell>
          <cell r="F38">
            <v>0</v>
          </cell>
          <cell r="G38">
            <v>0</v>
          </cell>
          <cell r="H38">
            <v>0</v>
          </cell>
          <cell r="J38" t="str">
            <v>---</v>
          </cell>
          <cell r="K38" t="str">
            <v>---</v>
          </cell>
          <cell r="M38">
            <v>0</v>
          </cell>
          <cell r="N38">
            <v>0</v>
          </cell>
          <cell r="O38">
            <v>0</v>
          </cell>
        </row>
        <row r="39">
          <cell r="B39" t="str">
            <v>Fuel Inventories</v>
          </cell>
          <cell r="E39">
            <v>2529000</v>
          </cell>
          <cell r="F39">
            <v>7499000</v>
          </cell>
          <cell r="G39">
            <v>0</v>
          </cell>
          <cell r="H39">
            <v>0</v>
          </cell>
          <cell r="J39">
            <v>1.1999999999999999E-2</v>
          </cell>
          <cell r="K39">
            <v>-1.0500000000000001E-2</v>
          </cell>
          <cell r="M39">
            <v>2684000</v>
          </cell>
          <cell r="N39">
            <v>7960000</v>
          </cell>
          <cell r="O39">
            <v>0</v>
          </cell>
        </row>
        <row r="40">
          <cell r="B40" t="str">
            <v>Working Capital</v>
          </cell>
          <cell r="D40" t="str">
            <v>1% of EPC Costs + Fuel Inventories</v>
          </cell>
          <cell r="E40">
            <v>2278000</v>
          </cell>
          <cell r="F40">
            <v>6007000</v>
          </cell>
          <cell r="G40">
            <v>1259000</v>
          </cell>
          <cell r="H40">
            <v>167000</v>
          </cell>
          <cell r="J40" t="str">
            <v>---</v>
          </cell>
          <cell r="K40" t="str">
            <v>---</v>
          </cell>
          <cell r="M40">
            <v>2636000</v>
          </cell>
          <cell r="N40">
            <v>6993000</v>
          </cell>
          <cell r="O40">
            <v>1441000</v>
          </cell>
        </row>
        <row r="41">
          <cell r="B41" t="str">
            <v>Owner's Contingency</v>
          </cell>
          <cell r="D41" t="str">
            <v>8% of Owner's Costs</v>
          </cell>
          <cell r="E41">
            <v>2268000</v>
          </cell>
          <cell r="F41">
            <v>6013000</v>
          </cell>
          <cell r="G41">
            <v>2326000</v>
          </cell>
          <cell r="H41">
            <v>131000</v>
          </cell>
          <cell r="J41" t="str">
            <v>---</v>
          </cell>
          <cell r="K41" t="str">
            <v>---</v>
          </cell>
          <cell r="M41">
            <v>2594000</v>
          </cell>
          <cell r="N41">
            <v>6900000</v>
          </cell>
          <cell r="O41">
            <v>2655000</v>
          </cell>
        </row>
        <row r="42">
          <cell r="B42" t="str">
            <v>Subtotal - Non-EPC Costs w/o Financing Fees</v>
          </cell>
          <cell r="E42">
            <v>30618000</v>
          </cell>
          <cell r="F42">
            <v>81171000</v>
          </cell>
          <cell r="G42">
            <v>31396000</v>
          </cell>
          <cell r="H42">
            <v>1767000</v>
          </cell>
          <cell r="J42" t="str">
            <v>---</v>
          </cell>
          <cell r="K42" t="str">
            <v>---</v>
          </cell>
          <cell r="M42">
            <v>35025000</v>
          </cell>
          <cell r="N42">
            <v>93145000</v>
          </cell>
          <cell r="O42">
            <v>35840000</v>
          </cell>
        </row>
        <row r="43">
          <cell r="B43" t="str">
            <v>Financing Fees</v>
          </cell>
          <cell r="D43" t="str">
            <v>4% on 50% of overnight costs (based on bank debt)</v>
          </cell>
          <cell r="E43">
            <v>5167000</v>
          </cell>
          <cell r="F43">
            <v>13638000</v>
          </cell>
          <cell r="G43">
            <v>3145000</v>
          </cell>
          <cell r="H43">
            <v>369000</v>
          </cell>
          <cell r="J43" t="str">
            <v>---</v>
          </cell>
          <cell r="K43" t="str">
            <v>---</v>
          </cell>
          <cell r="M43">
            <v>5972000</v>
          </cell>
          <cell r="N43">
            <v>15850000</v>
          </cell>
          <cell r="O43">
            <v>3600000</v>
          </cell>
        </row>
        <row r="44">
          <cell r="B44" t="str">
            <v>Total Non-EPC Costs</v>
          </cell>
          <cell r="E44">
            <v>35785000</v>
          </cell>
          <cell r="F44">
            <v>94809000</v>
          </cell>
          <cell r="G44">
            <v>34541000</v>
          </cell>
          <cell r="H44">
            <v>2136000</v>
          </cell>
          <cell r="J44" t="str">
            <v>---</v>
          </cell>
          <cell r="K44" t="str">
            <v>---</v>
          </cell>
          <cell r="M44">
            <v>40997000</v>
          </cell>
          <cell r="N44">
            <v>108995000</v>
          </cell>
          <cell r="O44">
            <v>39440000</v>
          </cell>
        </row>
        <row r="47">
          <cell r="B47" t="str">
            <v>Overnight Capital Costs ($)</v>
          </cell>
          <cell r="E47">
            <v>263535000</v>
          </cell>
          <cell r="F47">
            <v>695549000</v>
          </cell>
          <cell r="G47">
            <v>160412000</v>
          </cell>
          <cell r="H47">
            <v>18834000</v>
          </cell>
          <cell r="J47">
            <v>-3.7499999999999999E-2</v>
          </cell>
          <cell r="K47">
            <v>-0.06</v>
          </cell>
          <cell r="M47">
            <v>304547000</v>
          </cell>
          <cell r="N47">
            <v>808344000</v>
          </cell>
          <cell r="O47">
            <v>183575000</v>
          </cell>
          <cell r="P47">
            <v>15558000</v>
          </cell>
        </row>
        <row r="48">
          <cell r="B48" t="str">
            <v>Overnight Capital Costs ($/kW)</v>
          </cell>
          <cell r="E48">
            <v>1370.1375674579656</v>
          </cell>
          <cell r="F48">
            <v>953.32922149122805</v>
          </cell>
          <cell r="G48">
            <v>2676.2095428762091</v>
          </cell>
          <cell r="H48">
            <v>3139</v>
          </cell>
          <cell r="M48">
            <v>1583.3619282320035</v>
          </cell>
          <cell r="N48">
            <v>1107.9276315789473</v>
          </cell>
          <cell r="O48">
            <v>3062.6459793126455</v>
          </cell>
          <cell r="P48">
            <v>2593</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itle"/>
      <sheetName val="Generation User Guide"/>
      <sheetName val="DR &amp; EE User Guide"/>
      <sheetName val="Summary"/>
      <sheetName val="Generation Sensitivities"/>
      <sheetName val="DR &amp; EE Sensitivities"/>
      <sheetName val="Generation Inputs"/>
      <sheetName val="LMS100 SC"/>
      <sheetName val="LM6000 SC"/>
      <sheetName val="FT8 SC"/>
      <sheetName val="F CC"/>
      <sheetName val="501G CC"/>
      <sheetName val="Biomass"/>
      <sheetName val="Offshore Wind"/>
      <sheetName val="Onshore Wind"/>
      <sheetName val="Photovoltaic"/>
      <sheetName val="Landfill Gas Engine"/>
      <sheetName val="GENERIC RES LTG"/>
      <sheetName val="GENERIC RES NEW CONST"/>
      <sheetName val="DR &amp; EE Inputs"/>
      <sheetName val="GENERIC RES LOW INC"/>
      <sheetName val="GENERIC RES APPL"/>
      <sheetName val="GENERIC C&amp;I NEW CONST"/>
      <sheetName val="GENERIC C&amp;I BUSINESS"/>
      <sheetName val="EE CLP Residl Products"/>
      <sheetName val="EE UI Residl Products"/>
      <sheetName val="EE CLP Residl New Const"/>
      <sheetName val="EE UI Residl New Const"/>
      <sheetName val="EE CLP HES"/>
      <sheetName val="EE UI HES"/>
      <sheetName val="EE CLP HES Income Elig"/>
      <sheetName val="EE UI HES Income Elig"/>
      <sheetName val="C&amp;I CLP EE1"/>
      <sheetName val="C&amp;I UI EE1"/>
      <sheetName val="C&amp;I CLP EE2"/>
      <sheetName val="C&amp;I UI EE2"/>
      <sheetName val="C&amp;I CLP Sm Business"/>
      <sheetName val="C&amp;I UI Sm Business"/>
      <sheetName val="ME Residl Ltg"/>
      <sheetName val="ME Low Income"/>
      <sheetName val="ME Business Prog"/>
      <sheetName val="NH RES ES Homes"/>
      <sheetName val="NH RES HES"/>
      <sheetName val="NH RES ES APPL"/>
      <sheetName val="NH RES HEA"/>
      <sheetName val="NH RES ES LTG"/>
      <sheetName val="NH C&amp;I NEW EQUIP &amp; CONST"/>
      <sheetName val="NH C&amp;I LRG RETROFIT"/>
      <sheetName val="NH C&amp;I SM BUS"/>
      <sheetName val="VT RES NEW CONST"/>
      <sheetName val="VT RES EFF PROD"/>
      <sheetName val="VT RES EXIST HOMES"/>
      <sheetName val="VT BUS NEW CONST"/>
      <sheetName val="VT BUS EXIST FACIL"/>
      <sheetName val="VT BUS CUST CR"/>
      <sheetName val="VT GEOTAR"/>
      <sheetName val="MA RES NEW CONST"/>
      <sheetName val="MA RES COOLING &amp; HTG"/>
      <sheetName val="MA RES MULTI-FAM RETROFIT"/>
      <sheetName val="MA RES MASAVE"/>
      <sheetName val="MA RES O POWER"/>
      <sheetName val="MA RES ES LTG"/>
      <sheetName val="MA RES ES APPL"/>
      <sheetName val="MA LOW INC NEW CONST"/>
      <sheetName val="MA LOW INC RETROFIT"/>
      <sheetName val="MA C&amp;I NEW CONST"/>
      <sheetName val="MA C&amp;I RETROFIT"/>
      <sheetName val="DR IA C&amp;I"/>
      <sheetName val="DR IB"/>
      <sheetName val="DR UA BIP"/>
      <sheetName val="DR UB BIP"/>
      <sheetName val="DR UB API"/>
      <sheetName val="DR UA CBP"/>
      <sheetName val="DR UB CBP"/>
      <sheetName val="DR UA AMP"/>
      <sheetName val="DR UB DR CONTRACTS"/>
      <sheetName val="DR UB SDP"/>
      <sheetName val="UB Summary Sheet"/>
      <sheetName val="UA Summary Sheet"/>
      <sheetName val="DRIA DRIB Summary Sheet"/>
      <sheetName val="Generation References"/>
      <sheetName val="DR &amp; EE References"/>
      <sheetName val="Top 200 Hours"/>
      <sheetName val="EE State Data by Program"/>
    </sheetNames>
    <sheetDataSet>
      <sheetData sheetId="0" refreshError="1"/>
      <sheetData sheetId="1" refreshError="1"/>
      <sheetData sheetId="2" refreshError="1"/>
      <sheetData sheetId="3">
        <row r="36">
          <cell r="D36">
            <v>-59.297849810119168</v>
          </cell>
        </row>
        <row r="37">
          <cell r="D37">
            <v>-50.630295676258555</v>
          </cell>
        </row>
        <row r="38">
          <cell r="D38">
            <v>48.525137999062501</v>
          </cell>
        </row>
        <row r="39">
          <cell r="D39">
            <v>100.3751897089283</v>
          </cell>
        </row>
        <row r="40">
          <cell r="D40">
            <v>107.15941164375772</v>
          </cell>
        </row>
        <row r="41">
          <cell r="D41">
            <v>35.319694920619121</v>
          </cell>
        </row>
        <row r="42">
          <cell r="D42">
            <v>53.820954376989306</v>
          </cell>
        </row>
        <row r="43">
          <cell r="D43">
            <v>116.50379272906996</v>
          </cell>
        </row>
        <row r="44">
          <cell r="D44">
            <v>1.1747191740630776</v>
          </cell>
        </row>
        <row r="45">
          <cell r="D45">
            <v>-9.5523666280887001E-2</v>
          </cell>
        </row>
        <row r="46">
          <cell r="D46">
            <v>47.838367427222131</v>
          </cell>
        </row>
        <row r="47">
          <cell r="D47">
            <v>50.696506032823855</v>
          </cell>
        </row>
        <row r="48">
          <cell r="D48">
            <v>33.418931446684297</v>
          </cell>
        </row>
        <row r="49">
          <cell r="D49">
            <v>71.522189509867914</v>
          </cell>
        </row>
        <row r="52">
          <cell r="D52">
            <v>141.44833837880694</v>
          </cell>
        </row>
        <row r="53">
          <cell r="D53">
            <v>34.769706272795183</v>
          </cell>
        </row>
        <row r="54">
          <cell r="D54">
            <v>96.261772726586642</v>
          </cell>
        </row>
        <row r="55">
          <cell r="D55">
            <v>58.507896829064201</v>
          </cell>
        </row>
        <row r="56">
          <cell r="D56">
            <v>-80.738397987442539</v>
          </cell>
        </row>
        <row r="57">
          <cell r="D57">
            <v>-22.883908682773054</v>
          </cell>
        </row>
        <row r="58">
          <cell r="D58">
            <v>73.842990623344335</v>
          </cell>
        </row>
        <row r="59">
          <cell r="D59">
            <v>89.892608970185165</v>
          </cell>
        </row>
        <row r="60">
          <cell r="D60">
            <v>201.32392710934701</v>
          </cell>
        </row>
        <row r="61">
          <cell r="D61">
            <v>-123.41749359348954</v>
          </cell>
        </row>
        <row r="62">
          <cell r="D62">
            <v>16.161870164526711</v>
          </cell>
        </row>
        <row r="65">
          <cell r="D65">
            <v>-32.990372052944835</v>
          </cell>
        </row>
        <row r="66">
          <cell r="D66">
            <v>12.164588023172167</v>
          </cell>
        </row>
        <row r="67">
          <cell r="D67">
            <v>11.632003636478897</v>
          </cell>
        </row>
        <row r="70">
          <cell r="D70">
            <v>68.590237069981285</v>
          </cell>
        </row>
        <row r="71">
          <cell r="D71">
            <v>316.12677187360345</v>
          </cell>
        </row>
        <row r="72">
          <cell r="D72">
            <v>74.096190206845691</v>
          </cell>
        </row>
        <row r="73">
          <cell r="D73">
            <v>603.80360960607948</v>
          </cell>
        </row>
        <row r="74">
          <cell r="D74">
            <v>-79.372520353693844</v>
          </cell>
        </row>
        <row r="75">
          <cell r="D75">
            <v>-6.1917266761414211</v>
          </cell>
        </row>
        <row r="76">
          <cell r="D76">
            <v>3.213401413347325</v>
          </cell>
        </row>
        <row r="77">
          <cell r="D77">
            <v>23.467969149284496</v>
          </cell>
        </row>
        <row r="80">
          <cell r="D80">
            <v>116.14230876950819</v>
          </cell>
        </row>
        <row r="81">
          <cell r="D81">
            <v>-10.647970616309314</v>
          </cell>
        </row>
        <row r="82">
          <cell r="D82">
            <v>284.01875518559126</v>
          </cell>
        </row>
        <row r="83">
          <cell r="D83">
            <v>17.701132468987961</v>
          </cell>
        </row>
        <row r="84">
          <cell r="D84">
            <v>19.757140364880637</v>
          </cell>
        </row>
        <row r="85">
          <cell r="D85">
            <v>-16.428827342609051</v>
          </cell>
        </row>
        <row r="86">
          <cell r="D86">
            <v>9.2317537976143367</v>
          </cell>
        </row>
        <row r="89">
          <cell r="D89">
            <v>1.9832268182609232</v>
          </cell>
        </row>
        <row r="90">
          <cell r="D90">
            <v>2.3545093906330647</v>
          </cell>
        </row>
        <row r="91">
          <cell r="D91">
            <v>9.5879955432952801</v>
          </cell>
        </row>
        <row r="92">
          <cell r="D92">
            <v>24.27900910650709</v>
          </cell>
        </row>
        <row r="93">
          <cell r="D93">
            <v>28.044709275349021</v>
          </cell>
        </row>
        <row r="94">
          <cell r="D94">
            <v>22.962124930727043</v>
          </cell>
        </row>
        <row r="95">
          <cell r="D95">
            <v>14.7056885094769</v>
          </cell>
        </row>
        <row r="96">
          <cell r="D96">
            <v>2.9876966729690011</v>
          </cell>
        </row>
        <row r="97">
          <cell r="D97">
            <v>39.047439577810543</v>
          </cell>
        </row>
        <row r="98">
          <cell r="D98">
            <v>20.803760756784854</v>
          </cell>
        </row>
      </sheetData>
      <sheetData sheetId="4" refreshError="1"/>
      <sheetData sheetId="5" refreshError="1"/>
      <sheetData sheetId="6">
        <row r="128">
          <cell r="A128">
            <v>10</v>
          </cell>
        </row>
        <row r="129">
          <cell r="A129">
            <v>12</v>
          </cell>
        </row>
        <row r="130">
          <cell r="A130">
            <v>15</v>
          </cell>
        </row>
        <row r="133">
          <cell r="A133" t="str">
            <v>Market</v>
          </cell>
        </row>
        <row r="134">
          <cell r="A134" t="str">
            <v>Percentage of Initial</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09">
          <cell r="L109">
            <v>1</v>
          </cell>
        </row>
        <row r="113">
          <cell r="L113">
            <v>3.5000000000000003E-2</v>
          </cell>
        </row>
        <row r="131">
          <cell r="L131">
            <v>0.9</v>
          </cell>
        </row>
        <row r="132">
          <cell r="L132">
            <v>0.8</v>
          </cell>
        </row>
        <row r="133">
          <cell r="L133">
            <v>1</v>
          </cell>
        </row>
        <row r="139">
          <cell r="L139">
            <v>0.16666666666666666</v>
          </cell>
        </row>
        <row r="140">
          <cell r="L140">
            <v>1</v>
          </cell>
        </row>
        <row r="141">
          <cell r="L141">
            <v>1</v>
          </cell>
        </row>
        <row r="145">
          <cell r="A145" t="str">
            <v>Risk Free Rate1-n  (%)-&gt;</v>
          </cell>
        </row>
        <row r="146">
          <cell r="A146" t="str">
            <v>Market Risk Premium1-n  (%)-&gt;</v>
          </cell>
        </row>
        <row r="147">
          <cell r="A147" t="str">
            <v>Debt Ratio1-n  (%)-&gt;</v>
          </cell>
        </row>
        <row r="148">
          <cell r="A148" t="str">
            <v>Cost of Borrowing1-n  (%)-&gt;</v>
          </cell>
        </row>
        <row r="149">
          <cell r="A149" t="str">
            <v>Effective Income Tax Rate1-n  (%)-&gt;</v>
          </cell>
        </row>
        <row r="151">
          <cell r="A151" t="str">
            <v>Allocate Reported O&amp;M between Initial Investment &amp; O&amp;M</v>
          </cell>
        </row>
        <row r="152">
          <cell r="A152" t="str">
            <v xml:space="preserve"> Labor &amp; Services</v>
          </cell>
          <cell r="L152">
            <v>0.75</v>
          </cell>
        </row>
        <row r="153">
          <cell r="A153" t="str">
            <v xml:space="preserve"> Materials &amp; Supplies</v>
          </cell>
          <cell r="L153">
            <v>1</v>
          </cell>
        </row>
        <row r="154">
          <cell r="L154">
            <v>0.95</v>
          </cell>
        </row>
        <row r="155">
          <cell r="L155">
            <v>0.75</v>
          </cell>
        </row>
        <row r="156">
          <cell r="L156">
            <v>0.95</v>
          </cell>
        </row>
        <row r="157">
          <cell r="L157">
            <v>0</v>
          </cell>
        </row>
        <row r="166">
          <cell r="L166">
            <v>10</v>
          </cell>
          <cell r="M166">
            <v>281.34800000000001</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ow r="4">
          <cell r="A4">
            <v>1</v>
          </cell>
          <cell r="B4">
            <v>499.71</v>
          </cell>
        </row>
        <row r="5">
          <cell r="A5">
            <v>2</v>
          </cell>
          <cell r="B5">
            <v>402.98</v>
          </cell>
        </row>
        <row r="6">
          <cell r="A6">
            <v>3</v>
          </cell>
          <cell r="B6">
            <v>361.56666666666666</v>
          </cell>
        </row>
        <row r="7">
          <cell r="A7">
            <v>4</v>
          </cell>
          <cell r="B7">
            <v>338.86</v>
          </cell>
        </row>
        <row r="8">
          <cell r="A8">
            <v>5</v>
          </cell>
          <cell r="B8">
            <v>321.12600000000003</v>
          </cell>
        </row>
        <row r="9">
          <cell r="A9">
            <v>6</v>
          </cell>
          <cell r="B9">
            <v>308.88666666666671</v>
          </cell>
        </row>
        <row r="10">
          <cell r="A10">
            <v>7</v>
          </cell>
          <cell r="B10">
            <v>299.90571428571428</v>
          </cell>
        </row>
        <row r="11">
          <cell r="A11">
            <v>8</v>
          </cell>
          <cell r="B11">
            <v>293.0025</v>
          </cell>
        </row>
        <row r="12">
          <cell r="A12">
            <v>9</v>
          </cell>
          <cell r="B12">
            <v>286.63111111111107</v>
          </cell>
        </row>
        <row r="13">
          <cell r="A13">
            <v>10</v>
          </cell>
          <cell r="B13">
            <v>281.34800000000001</v>
          </cell>
        </row>
        <row r="14">
          <cell r="A14">
            <v>11</v>
          </cell>
          <cell r="B14">
            <v>276.90000000000003</v>
          </cell>
        </row>
        <row r="15">
          <cell r="A15">
            <v>12</v>
          </cell>
          <cell r="B15">
            <v>272.77916666666664</v>
          </cell>
        </row>
        <row r="16">
          <cell r="A16">
            <v>13</v>
          </cell>
          <cell r="B16">
            <v>269.21692307692308</v>
          </cell>
        </row>
        <row r="17">
          <cell r="A17">
            <v>14</v>
          </cell>
          <cell r="B17">
            <v>265.82</v>
          </cell>
        </row>
        <row r="18">
          <cell r="A18">
            <v>15</v>
          </cell>
          <cell r="B18">
            <v>262.74599999999998</v>
          </cell>
        </row>
        <row r="19">
          <cell r="A19">
            <v>16</v>
          </cell>
          <cell r="B19">
            <v>260.00874999999996</v>
          </cell>
        </row>
        <row r="20">
          <cell r="A20">
            <v>17</v>
          </cell>
          <cell r="B20">
            <v>257.36117647058819</v>
          </cell>
        </row>
        <row r="21">
          <cell r="A21">
            <v>18</v>
          </cell>
          <cell r="B21">
            <v>254.9744444444444</v>
          </cell>
        </row>
        <row r="22">
          <cell r="A22">
            <v>19</v>
          </cell>
          <cell r="B22">
            <v>252.69894736842099</v>
          </cell>
        </row>
        <row r="23">
          <cell r="A23">
            <v>20</v>
          </cell>
          <cell r="B23">
            <v>250.31599999999995</v>
          </cell>
        </row>
        <row r="24">
          <cell r="A24">
            <v>21</v>
          </cell>
          <cell r="B24">
            <v>248.14047619047614</v>
          </cell>
        </row>
        <row r="25">
          <cell r="A25">
            <v>22</v>
          </cell>
          <cell r="B25">
            <v>246.10227272727269</v>
          </cell>
        </row>
        <row r="26">
          <cell r="A26">
            <v>23</v>
          </cell>
          <cell r="B26">
            <v>244.1978260869565</v>
          </cell>
        </row>
        <row r="27">
          <cell r="A27">
            <v>24</v>
          </cell>
          <cell r="B27">
            <v>242.41291666666663</v>
          </cell>
        </row>
        <row r="28">
          <cell r="A28">
            <v>25</v>
          </cell>
          <cell r="B28">
            <v>240.60679999999996</v>
          </cell>
        </row>
        <row r="29">
          <cell r="A29">
            <v>26</v>
          </cell>
          <cell r="B29">
            <v>238.91961538461535</v>
          </cell>
        </row>
        <row r="30">
          <cell r="A30">
            <v>27</v>
          </cell>
          <cell r="B30">
            <v>237.33703703703699</v>
          </cell>
        </row>
        <row r="31">
          <cell r="A31">
            <v>28</v>
          </cell>
          <cell r="B31">
            <v>235.85821428571424</v>
          </cell>
        </row>
        <row r="32">
          <cell r="A32">
            <v>29</v>
          </cell>
          <cell r="B32">
            <v>234.40241379310342</v>
          </cell>
        </row>
        <row r="33">
          <cell r="A33">
            <v>30</v>
          </cell>
          <cell r="B33">
            <v>233.00066666666666</v>
          </cell>
        </row>
        <row r="34">
          <cell r="A34">
            <v>31</v>
          </cell>
          <cell r="B34">
            <v>231.68032258064514</v>
          </cell>
        </row>
        <row r="35">
          <cell r="A35">
            <v>32</v>
          </cell>
          <cell r="B35">
            <v>230.38687499999997</v>
          </cell>
        </row>
        <row r="36">
          <cell r="A36">
            <v>33</v>
          </cell>
          <cell r="B36">
            <v>229.16060606060603</v>
          </cell>
        </row>
        <row r="37">
          <cell r="A37">
            <v>34</v>
          </cell>
          <cell r="B37">
            <v>227.99352941176468</v>
          </cell>
        </row>
        <row r="38">
          <cell r="A38">
            <v>35</v>
          </cell>
          <cell r="B38">
            <v>226.83742857142852</v>
          </cell>
        </row>
        <row r="39">
          <cell r="A39">
            <v>36</v>
          </cell>
          <cell r="B39">
            <v>225.74222222222218</v>
          </cell>
        </row>
        <row r="40">
          <cell r="A40">
            <v>37</v>
          </cell>
          <cell r="B40">
            <v>224.69621621621619</v>
          </cell>
        </row>
        <row r="41">
          <cell r="A41">
            <v>38</v>
          </cell>
          <cell r="B41">
            <v>223.69421052631577</v>
          </cell>
        </row>
        <row r="42">
          <cell r="A42">
            <v>39</v>
          </cell>
          <cell r="B42">
            <v>222.74128205128204</v>
          </cell>
        </row>
        <row r="43">
          <cell r="A43">
            <v>40</v>
          </cell>
          <cell r="B43">
            <v>221.81525000000002</v>
          </cell>
        </row>
        <row r="44">
          <cell r="A44">
            <v>41</v>
          </cell>
          <cell r="B44">
            <v>220.90682926829268</v>
          </cell>
        </row>
        <row r="45">
          <cell r="A45">
            <v>42</v>
          </cell>
          <cell r="B45">
            <v>220.0264285714286</v>
          </cell>
        </row>
        <row r="46">
          <cell r="A46">
            <v>43</v>
          </cell>
          <cell r="B46">
            <v>219.14581395348839</v>
          </cell>
        </row>
        <row r="47">
          <cell r="A47">
            <v>44</v>
          </cell>
          <cell r="B47">
            <v>218.30295454545455</v>
          </cell>
        </row>
        <row r="48">
          <cell r="A48">
            <v>45</v>
          </cell>
          <cell r="B48">
            <v>217.48044444444446</v>
          </cell>
        </row>
        <row r="49">
          <cell r="A49">
            <v>46</v>
          </cell>
          <cell r="B49">
            <v>216.68695652173915</v>
          </cell>
        </row>
        <row r="50">
          <cell r="A50">
            <v>47</v>
          </cell>
          <cell r="B50">
            <v>215.9268085106383</v>
          </cell>
        </row>
        <row r="51">
          <cell r="A51">
            <v>48</v>
          </cell>
          <cell r="B51">
            <v>215.14770833333333</v>
          </cell>
        </row>
        <row r="52">
          <cell r="A52">
            <v>49</v>
          </cell>
          <cell r="B52">
            <v>214.38448979591837</v>
          </cell>
        </row>
        <row r="53">
          <cell r="A53">
            <v>50</v>
          </cell>
          <cell r="B53">
            <v>213.64359999999999</v>
          </cell>
        </row>
        <row r="54">
          <cell r="A54">
            <v>51</v>
          </cell>
          <cell r="B54">
            <v>212.92196078431374</v>
          </cell>
        </row>
        <row r="55">
          <cell r="A55">
            <v>52</v>
          </cell>
          <cell r="B55">
            <v>212.22634615384615</v>
          </cell>
        </row>
        <row r="56">
          <cell r="A56">
            <v>53</v>
          </cell>
          <cell r="B56">
            <v>211.54018867924529</v>
          </cell>
        </row>
        <row r="57">
          <cell r="A57">
            <v>54</v>
          </cell>
          <cell r="B57">
            <v>210.85092592592594</v>
          </cell>
        </row>
        <row r="58">
          <cell r="A58">
            <v>55</v>
          </cell>
          <cell r="B58">
            <v>210.10072727272728</v>
          </cell>
        </row>
        <row r="59">
          <cell r="A59">
            <v>56</v>
          </cell>
          <cell r="B59">
            <v>209.37392857142859</v>
          </cell>
        </row>
        <row r="60">
          <cell r="A60">
            <v>57</v>
          </cell>
          <cell r="B60">
            <v>208.67122807017543</v>
          </cell>
        </row>
        <row r="61">
          <cell r="A61">
            <v>58</v>
          </cell>
          <cell r="B61">
            <v>207.98413793103447</v>
          </cell>
        </row>
        <row r="62">
          <cell r="A62">
            <v>59</v>
          </cell>
          <cell r="B62">
            <v>207.31576271186438</v>
          </cell>
        </row>
        <row r="63">
          <cell r="A63">
            <v>60</v>
          </cell>
          <cell r="B63">
            <v>206.66166666666666</v>
          </cell>
        </row>
        <row r="64">
          <cell r="A64">
            <v>61</v>
          </cell>
          <cell r="B64">
            <v>206.01491803278685</v>
          </cell>
        </row>
        <row r="65">
          <cell r="A65">
            <v>62</v>
          </cell>
          <cell r="B65">
            <v>205.38435483870964</v>
          </cell>
        </row>
        <row r="66">
          <cell r="A66">
            <v>63</v>
          </cell>
          <cell r="B66">
            <v>204.76587301587298</v>
          </cell>
        </row>
        <row r="67">
          <cell r="A67">
            <v>64</v>
          </cell>
          <cell r="B67">
            <v>204.14187499999997</v>
          </cell>
        </row>
        <row r="68">
          <cell r="A68">
            <v>65</v>
          </cell>
          <cell r="B68">
            <v>203.53569230769227</v>
          </cell>
        </row>
        <row r="69">
          <cell r="A69">
            <v>66</v>
          </cell>
          <cell r="B69">
            <v>202.92333333333332</v>
          </cell>
        </row>
        <row r="70">
          <cell r="A70">
            <v>67</v>
          </cell>
          <cell r="B70">
            <v>202.3225373134328</v>
          </cell>
        </row>
        <row r="71">
          <cell r="A71">
            <v>68</v>
          </cell>
          <cell r="B71">
            <v>201.73294117647058</v>
          </cell>
        </row>
        <row r="72">
          <cell r="A72">
            <v>69</v>
          </cell>
          <cell r="B72">
            <v>201.1424637681159</v>
          </cell>
        </row>
        <row r="73">
          <cell r="A73">
            <v>70</v>
          </cell>
          <cell r="B73">
            <v>200.5638571428571</v>
          </cell>
        </row>
        <row r="74">
          <cell r="A74">
            <v>71</v>
          </cell>
          <cell r="B74">
            <v>200.00042253521121</v>
          </cell>
        </row>
        <row r="75">
          <cell r="A75">
            <v>72</v>
          </cell>
          <cell r="B75">
            <v>199.43319444444441</v>
          </cell>
        </row>
        <row r="76">
          <cell r="A76">
            <v>73</v>
          </cell>
          <cell r="B76">
            <v>198.86273972602737</v>
          </cell>
        </row>
        <row r="77">
          <cell r="A77">
            <v>74</v>
          </cell>
          <cell r="B77">
            <v>198.30445945945942</v>
          </cell>
        </row>
        <row r="78">
          <cell r="A78">
            <v>75</v>
          </cell>
          <cell r="B78">
            <v>197.76026666666664</v>
          </cell>
        </row>
        <row r="79">
          <cell r="A79">
            <v>76</v>
          </cell>
          <cell r="B79">
            <v>197.22421052631574</v>
          </cell>
        </row>
        <row r="80">
          <cell r="A80">
            <v>77</v>
          </cell>
          <cell r="B80">
            <v>196.69519480519477</v>
          </cell>
        </row>
        <row r="81">
          <cell r="A81">
            <v>78</v>
          </cell>
          <cell r="B81">
            <v>196.17705128205125</v>
          </cell>
        </row>
        <row r="82">
          <cell r="A82">
            <v>79</v>
          </cell>
          <cell r="B82">
            <v>195.67088607594934</v>
          </cell>
        </row>
        <row r="83">
          <cell r="A83">
            <v>80</v>
          </cell>
          <cell r="B83">
            <v>195.17337499999999</v>
          </cell>
        </row>
        <row r="84">
          <cell r="A84">
            <v>81</v>
          </cell>
          <cell r="B84">
            <v>194.68802469135801</v>
          </cell>
        </row>
        <row r="85">
          <cell r="A85">
            <v>82</v>
          </cell>
          <cell r="B85">
            <v>194.20207317073169</v>
          </cell>
        </row>
        <row r="86">
          <cell r="A86">
            <v>83</v>
          </cell>
          <cell r="B86">
            <v>193.7278313253012</v>
          </cell>
        </row>
        <row r="87">
          <cell r="A87">
            <v>84</v>
          </cell>
          <cell r="B87">
            <v>193.26309523809525</v>
          </cell>
        </row>
        <row r="88">
          <cell r="A88">
            <v>85</v>
          </cell>
          <cell r="B88">
            <v>192.80505882352941</v>
          </cell>
        </row>
        <row r="89">
          <cell r="A89">
            <v>86</v>
          </cell>
          <cell r="B89">
            <v>192.35034883720931</v>
          </cell>
        </row>
        <row r="90">
          <cell r="A90">
            <v>87</v>
          </cell>
          <cell r="B90">
            <v>191.89781609195404</v>
          </cell>
        </row>
        <row r="91">
          <cell r="A91">
            <v>88</v>
          </cell>
          <cell r="B91">
            <v>191.45034090909093</v>
          </cell>
        </row>
        <row r="92">
          <cell r="A92">
            <v>89</v>
          </cell>
          <cell r="B92">
            <v>191.00606741573034</v>
          </cell>
        </row>
        <row r="93">
          <cell r="A93">
            <v>90</v>
          </cell>
          <cell r="B93">
            <v>190.56966666666668</v>
          </cell>
        </row>
        <row r="94">
          <cell r="A94">
            <v>91</v>
          </cell>
          <cell r="B94">
            <v>190.14164835164834</v>
          </cell>
        </row>
        <row r="95">
          <cell r="A95">
            <v>92</v>
          </cell>
          <cell r="B95">
            <v>189.71554347826086</v>
          </cell>
        </row>
        <row r="96">
          <cell r="A96">
            <v>93</v>
          </cell>
          <cell r="B96">
            <v>189.29677419354837</v>
          </cell>
        </row>
        <row r="97">
          <cell r="A97">
            <v>94</v>
          </cell>
          <cell r="B97">
            <v>188.88180851063828</v>
          </cell>
        </row>
        <row r="98">
          <cell r="A98">
            <v>95</v>
          </cell>
          <cell r="B98">
            <v>188.4754736842105</v>
          </cell>
        </row>
        <row r="99">
          <cell r="A99">
            <v>96</v>
          </cell>
          <cell r="B99">
            <v>188.07572916666663</v>
          </cell>
        </row>
        <row r="100">
          <cell r="A100">
            <v>97</v>
          </cell>
          <cell r="B100">
            <v>187.67536082474226</v>
          </cell>
        </row>
        <row r="101">
          <cell r="A101">
            <v>98</v>
          </cell>
          <cell r="B101">
            <v>187.28214285714284</v>
          </cell>
        </row>
        <row r="102">
          <cell r="A102">
            <v>99</v>
          </cell>
          <cell r="B102">
            <v>186.89636363636362</v>
          </cell>
        </row>
        <row r="103">
          <cell r="A103">
            <v>100</v>
          </cell>
          <cell r="B103">
            <v>186.49969999999996</v>
          </cell>
        </row>
        <row r="104">
          <cell r="A104">
            <v>101</v>
          </cell>
          <cell r="B104">
            <v>186.10821782178215</v>
          </cell>
        </row>
        <row r="105">
          <cell r="A105">
            <v>102</v>
          </cell>
          <cell r="B105">
            <v>185.72254901960781</v>
          </cell>
        </row>
        <row r="106">
          <cell r="A106">
            <v>103</v>
          </cell>
          <cell r="B106">
            <v>185.33941747572811</v>
          </cell>
        </row>
        <row r="107">
          <cell r="A107">
            <v>104</v>
          </cell>
          <cell r="B107">
            <v>184.9622115384615</v>
          </cell>
        </row>
        <row r="108">
          <cell r="A108">
            <v>105</v>
          </cell>
          <cell r="B108">
            <v>184.5913333333333</v>
          </cell>
        </row>
        <row r="109">
          <cell r="A109">
            <v>106</v>
          </cell>
          <cell r="B109">
            <v>184.22698113207545</v>
          </cell>
        </row>
        <row r="110">
          <cell r="A110">
            <v>107</v>
          </cell>
          <cell r="B110">
            <v>183.86831775700932</v>
          </cell>
        </row>
        <row r="111">
          <cell r="A111">
            <v>108</v>
          </cell>
          <cell r="B111">
            <v>183.50999999999996</v>
          </cell>
        </row>
        <row r="112">
          <cell r="A112">
            <v>109</v>
          </cell>
          <cell r="B112">
            <v>183.15137614678892</v>
          </cell>
        </row>
        <row r="113">
          <cell r="A113">
            <v>110</v>
          </cell>
          <cell r="B113">
            <v>182.79836363636358</v>
          </cell>
        </row>
        <row r="114">
          <cell r="A114">
            <v>111</v>
          </cell>
          <cell r="B114">
            <v>182.45126126126121</v>
          </cell>
        </row>
        <row r="115">
          <cell r="A115">
            <v>112</v>
          </cell>
          <cell r="B115">
            <v>182.10901785714279</v>
          </cell>
        </row>
        <row r="116">
          <cell r="A116">
            <v>113</v>
          </cell>
          <cell r="B116">
            <v>181.76991150442473</v>
          </cell>
        </row>
        <row r="117">
          <cell r="A117">
            <v>114</v>
          </cell>
          <cell r="B117">
            <v>181.42631578947362</v>
          </cell>
        </row>
        <row r="118">
          <cell r="A118">
            <v>115</v>
          </cell>
          <cell r="B118">
            <v>181.0866086956521</v>
          </cell>
        </row>
        <row r="119">
          <cell r="A119">
            <v>116</v>
          </cell>
          <cell r="B119">
            <v>180.74999999999994</v>
          </cell>
        </row>
        <row r="120">
          <cell r="A120">
            <v>117</v>
          </cell>
          <cell r="B120">
            <v>180.41786324786318</v>
          </cell>
        </row>
        <row r="121">
          <cell r="A121">
            <v>118</v>
          </cell>
          <cell r="B121">
            <v>180.09127118644062</v>
          </cell>
        </row>
        <row r="122">
          <cell r="A122">
            <v>119</v>
          </cell>
          <cell r="B122">
            <v>179.76831932773104</v>
          </cell>
        </row>
        <row r="123">
          <cell r="A123">
            <v>120</v>
          </cell>
          <cell r="B123">
            <v>179.45049999999995</v>
          </cell>
        </row>
        <row r="124">
          <cell r="A124">
            <v>121</v>
          </cell>
          <cell r="B124">
            <v>179.13661157024791</v>
          </cell>
        </row>
        <row r="125">
          <cell r="A125">
            <v>122</v>
          </cell>
          <cell r="B125">
            <v>178.82754098360653</v>
          </cell>
        </row>
        <row r="126">
          <cell r="A126">
            <v>123</v>
          </cell>
          <cell r="B126">
            <v>178.52341463414629</v>
          </cell>
        </row>
        <row r="127">
          <cell r="A127">
            <v>124</v>
          </cell>
          <cell r="B127">
            <v>178.22411290322574</v>
          </cell>
        </row>
        <row r="128">
          <cell r="A128">
            <v>125</v>
          </cell>
          <cell r="B128">
            <v>177.92599999999993</v>
          </cell>
        </row>
        <row r="129">
          <cell r="A129">
            <v>126</v>
          </cell>
          <cell r="B129">
            <v>177.63246031746024</v>
          </cell>
        </row>
        <row r="130">
          <cell r="A130">
            <v>127</v>
          </cell>
          <cell r="B130">
            <v>177.34007874015742</v>
          </cell>
        </row>
        <row r="131">
          <cell r="A131">
            <v>128</v>
          </cell>
          <cell r="B131">
            <v>177.05054687499992</v>
          </cell>
        </row>
        <row r="132">
          <cell r="A132">
            <v>129</v>
          </cell>
          <cell r="B132">
            <v>176.76062015503871</v>
          </cell>
        </row>
        <row r="133">
          <cell r="A133">
            <v>130</v>
          </cell>
          <cell r="B133">
            <v>176.47507692307684</v>
          </cell>
        </row>
        <row r="134">
          <cell r="A134">
            <v>131</v>
          </cell>
          <cell r="B134">
            <v>176.19160305343505</v>
          </cell>
        </row>
        <row r="135">
          <cell r="A135">
            <v>132</v>
          </cell>
          <cell r="B135">
            <v>175.90962121212115</v>
          </cell>
        </row>
        <row r="136">
          <cell r="A136">
            <v>133</v>
          </cell>
          <cell r="B136">
            <v>175.62932330827061</v>
          </cell>
        </row>
        <row r="137">
          <cell r="A137">
            <v>134</v>
          </cell>
          <cell r="B137">
            <v>175.350671641791</v>
          </cell>
        </row>
        <row r="138">
          <cell r="A138">
            <v>135</v>
          </cell>
          <cell r="B138">
            <v>175.07481481481477</v>
          </cell>
        </row>
        <row r="139">
          <cell r="A139">
            <v>136</v>
          </cell>
          <cell r="B139">
            <v>174.8018382352941</v>
          </cell>
        </row>
        <row r="140">
          <cell r="A140">
            <v>137</v>
          </cell>
          <cell r="B140">
            <v>174.53204379562041</v>
          </cell>
        </row>
        <row r="141">
          <cell r="A141">
            <v>138</v>
          </cell>
          <cell r="B141">
            <v>174.2646376811594</v>
          </cell>
        </row>
        <row r="142">
          <cell r="A142">
            <v>139</v>
          </cell>
          <cell r="B142">
            <v>173.99913669064748</v>
          </cell>
        </row>
        <row r="143">
          <cell r="A143">
            <v>140</v>
          </cell>
          <cell r="B143">
            <v>173.73349999999999</v>
          </cell>
        </row>
        <row r="144">
          <cell r="A144">
            <v>141</v>
          </cell>
          <cell r="B144">
            <v>173.46808510638297</v>
          </cell>
        </row>
        <row r="145">
          <cell r="A145">
            <v>142</v>
          </cell>
          <cell r="B145">
            <v>173.20352112676056</v>
          </cell>
        </row>
        <row r="146">
          <cell r="A146">
            <v>143</v>
          </cell>
          <cell r="B146">
            <v>172.94090909090912</v>
          </cell>
        </row>
        <row r="147">
          <cell r="A147">
            <v>144</v>
          </cell>
          <cell r="B147">
            <v>172.6813888888889</v>
          </cell>
        </row>
        <row r="148">
          <cell r="A148">
            <v>145</v>
          </cell>
          <cell r="B148">
            <v>172.42310344827587</v>
          </cell>
        </row>
        <row r="149">
          <cell r="A149">
            <v>146</v>
          </cell>
          <cell r="B149">
            <v>172.16479452054796</v>
          </cell>
        </row>
        <row r="150">
          <cell r="A150">
            <v>147</v>
          </cell>
          <cell r="B150">
            <v>171.90394557823129</v>
          </cell>
        </row>
        <row r="151">
          <cell r="A151">
            <v>148</v>
          </cell>
          <cell r="B151">
            <v>171.6462162162162</v>
          </cell>
        </row>
        <row r="152">
          <cell r="A152">
            <v>149</v>
          </cell>
          <cell r="B152">
            <v>171.39147651006709</v>
          </cell>
        </row>
        <row r="153">
          <cell r="A153">
            <v>150</v>
          </cell>
          <cell r="B153">
            <v>171.13419999999999</v>
          </cell>
        </row>
        <row r="154">
          <cell r="A154">
            <v>151</v>
          </cell>
          <cell r="B154">
            <v>170.88026490066224</v>
          </cell>
        </row>
        <row r="155">
          <cell r="A155">
            <v>152</v>
          </cell>
          <cell r="B155">
            <v>170.6274342105263</v>
          </cell>
        </row>
        <row r="156">
          <cell r="A156">
            <v>153</v>
          </cell>
          <cell r="B156">
            <v>170.37647058823529</v>
          </cell>
        </row>
        <row r="157">
          <cell r="A157">
            <v>154</v>
          </cell>
          <cell r="B157">
            <v>170.12597402597402</v>
          </cell>
        </row>
        <row r="158">
          <cell r="A158">
            <v>155</v>
          </cell>
          <cell r="B158">
            <v>169.87709677419352</v>
          </cell>
        </row>
        <row r="159">
          <cell r="A159">
            <v>156</v>
          </cell>
          <cell r="B159">
            <v>169.63070512820511</v>
          </cell>
        </row>
        <row r="160">
          <cell r="A160">
            <v>157</v>
          </cell>
          <cell r="B160">
            <v>169.38528662420379</v>
          </cell>
        </row>
        <row r="161">
          <cell r="A161">
            <v>158</v>
          </cell>
          <cell r="B161">
            <v>169.14025316455692</v>
          </cell>
        </row>
        <row r="162">
          <cell r="A162">
            <v>159</v>
          </cell>
          <cell r="B162">
            <v>168.89773584905657</v>
          </cell>
        </row>
        <row r="163">
          <cell r="A163">
            <v>160</v>
          </cell>
          <cell r="B163">
            <v>168.65799999999996</v>
          </cell>
        </row>
        <row r="164">
          <cell r="A164">
            <v>161</v>
          </cell>
          <cell r="B164">
            <v>168.41677018633538</v>
          </cell>
        </row>
        <row r="165">
          <cell r="A165">
            <v>162</v>
          </cell>
          <cell r="B165">
            <v>168.17839506172837</v>
          </cell>
        </row>
        <row r="166">
          <cell r="A166">
            <v>163</v>
          </cell>
          <cell r="B166">
            <v>167.94263803680977</v>
          </cell>
        </row>
        <row r="167">
          <cell r="A167">
            <v>164</v>
          </cell>
          <cell r="B167">
            <v>167.70810975609751</v>
          </cell>
        </row>
        <row r="168">
          <cell r="A168">
            <v>165</v>
          </cell>
          <cell r="B168">
            <v>167.47509090909085</v>
          </cell>
        </row>
        <row r="169">
          <cell r="A169">
            <v>166</v>
          </cell>
          <cell r="B169">
            <v>167.24337349397584</v>
          </cell>
        </row>
        <row r="170">
          <cell r="A170">
            <v>167</v>
          </cell>
          <cell r="B170">
            <v>167.01299401197599</v>
          </cell>
        </row>
        <row r="171">
          <cell r="A171">
            <v>168</v>
          </cell>
          <cell r="B171">
            <v>166.78380952380945</v>
          </cell>
        </row>
        <row r="172">
          <cell r="A172">
            <v>169</v>
          </cell>
          <cell r="B172">
            <v>166.55449704142003</v>
          </cell>
        </row>
        <row r="173">
          <cell r="A173">
            <v>170</v>
          </cell>
          <cell r="B173">
            <v>166.32517647058816</v>
          </cell>
        </row>
        <row r="174">
          <cell r="A174">
            <v>171</v>
          </cell>
          <cell r="B174">
            <v>166.09812865497068</v>
          </cell>
        </row>
        <row r="175">
          <cell r="A175">
            <v>172</v>
          </cell>
          <cell r="B175">
            <v>165.86749999999992</v>
          </cell>
        </row>
        <row r="176">
          <cell r="A176">
            <v>173</v>
          </cell>
          <cell r="B176">
            <v>165.6383236994219</v>
          </cell>
        </row>
        <row r="177">
          <cell r="A177">
            <v>174</v>
          </cell>
          <cell r="B177">
            <v>165.41132183908039</v>
          </cell>
        </row>
        <row r="178">
          <cell r="A178">
            <v>175</v>
          </cell>
          <cell r="B178">
            <v>165.18519999999992</v>
          </cell>
        </row>
        <row r="179">
          <cell r="A179">
            <v>176</v>
          </cell>
          <cell r="B179">
            <v>164.96147727272722</v>
          </cell>
        </row>
        <row r="180">
          <cell r="A180">
            <v>177</v>
          </cell>
          <cell r="B180">
            <v>164.74005649717509</v>
          </cell>
        </row>
        <row r="181">
          <cell r="A181">
            <v>178</v>
          </cell>
          <cell r="B181">
            <v>164.52078651685389</v>
          </cell>
        </row>
        <row r="182">
          <cell r="A182">
            <v>179</v>
          </cell>
          <cell r="B182">
            <v>164.30273743016755</v>
          </cell>
        </row>
        <row r="183">
          <cell r="A183">
            <v>180</v>
          </cell>
          <cell r="B183">
            <v>164.0850555555555</v>
          </cell>
        </row>
        <row r="184">
          <cell r="A184">
            <v>181</v>
          </cell>
          <cell r="B184">
            <v>163.86961325966845</v>
          </cell>
        </row>
        <row r="185">
          <cell r="A185">
            <v>182</v>
          </cell>
          <cell r="B185">
            <v>163.65642857142851</v>
          </cell>
        </row>
        <row r="186">
          <cell r="A186">
            <v>183</v>
          </cell>
          <cell r="B186">
            <v>163.44060109289612</v>
          </cell>
        </row>
        <row r="187">
          <cell r="A187">
            <v>184</v>
          </cell>
          <cell r="B187">
            <v>163.2268478260869</v>
          </cell>
        </row>
        <row r="188">
          <cell r="A188">
            <v>185</v>
          </cell>
          <cell r="B188">
            <v>163.01524324324319</v>
          </cell>
        </row>
        <row r="189">
          <cell r="A189">
            <v>186</v>
          </cell>
          <cell r="B189">
            <v>162.80526881720425</v>
          </cell>
        </row>
        <row r="190">
          <cell r="A190">
            <v>187</v>
          </cell>
          <cell r="B190">
            <v>162.59748663101601</v>
          </cell>
        </row>
        <row r="191">
          <cell r="A191">
            <v>188</v>
          </cell>
          <cell r="B191">
            <v>162.39132978723401</v>
          </cell>
        </row>
        <row r="192">
          <cell r="A192">
            <v>189</v>
          </cell>
          <cell r="B192">
            <v>162.18671957671955</v>
          </cell>
        </row>
        <row r="193">
          <cell r="A193">
            <v>190</v>
          </cell>
          <cell r="B193">
            <v>161.98136842105259</v>
          </cell>
        </row>
        <row r="194">
          <cell r="A194">
            <v>191</v>
          </cell>
          <cell r="B194">
            <v>161.77748691099472</v>
          </cell>
        </row>
        <row r="195">
          <cell r="A195">
            <v>192</v>
          </cell>
          <cell r="B195">
            <v>161.57552083333329</v>
          </cell>
        </row>
        <row r="196">
          <cell r="A196">
            <v>193</v>
          </cell>
          <cell r="B196">
            <v>161.37461139896368</v>
          </cell>
        </row>
        <row r="197">
          <cell r="A197">
            <v>194</v>
          </cell>
          <cell r="B197">
            <v>161.17546391752575</v>
          </cell>
        </row>
        <row r="198">
          <cell r="A198">
            <v>195</v>
          </cell>
          <cell r="B198">
            <v>160.9782051282051</v>
          </cell>
        </row>
        <row r="199">
          <cell r="A199">
            <v>196</v>
          </cell>
          <cell r="B199">
            <v>160.78096938775505</v>
          </cell>
        </row>
        <row r="200">
          <cell r="A200">
            <v>197</v>
          </cell>
          <cell r="B200">
            <v>160.58568527918777</v>
          </cell>
        </row>
        <row r="201">
          <cell r="A201">
            <v>198</v>
          </cell>
          <cell r="B201">
            <v>160.3913131313131</v>
          </cell>
        </row>
        <row r="202">
          <cell r="A202">
            <v>199</v>
          </cell>
          <cell r="B202">
            <v>160.19829145728639</v>
          </cell>
        </row>
        <row r="203">
          <cell r="A203">
            <v>200</v>
          </cell>
          <cell r="B203">
            <v>160.00659999999996</v>
          </cell>
        </row>
      </sheetData>
      <sheetData sheetId="8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itle"/>
      <sheetName val="Generation User Guide"/>
      <sheetName val="DR &amp; EE User Guide"/>
      <sheetName val="Summary"/>
      <sheetName val="Generation Sensitivities"/>
      <sheetName val="DR &amp; EE Sensitivities"/>
      <sheetName val="Generation Inputs"/>
      <sheetName val="LMS100 SC"/>
      <sheetName val="LM6000 SC"/>
      <sheetName val="FT8 SC"/>
      <sheetName val="F CC"/>
      <sheetName val="501G CC"/>
      <sheetName val="Biomass"/>
      <sheetName val="Offshore Wind"/>
      <sheetName val="Onshore Wind"/>
      <sheetName val="Photovoltaic"/>
      <sheetName val="Landfill Gas Engine"/>
      <sheetName val="DR &amp; EE Inputs"/>
      <sheetName val="DRIA DRIB Summary Sheet"/>
      <sheetName val="GENERIC RES LTG"/>
      <sheetName val="GENERIC RES NEW CONST"/>
      <sheetName val="GENERIC RES LOW INC"/>
      <sheetName val="GENERIC RES APPL"/>
      <sheetName val="GENERIC C&amp;I NEW CONST"/>
      <sheetName val="GENERIC C&amp;I BUSINESS"/>
      <sheetName val="EE CLP Residl Products"/>
      <sheetName val="EE UI Residl Products"/>
      <sheetName val="EE CLP Residl New Const"/>
      <sheetName val="EE UI Residl New Const"/>
      <sheetName val="EE CLP HES"/>
      <sheetName val="EE UI HES"/>
      <sheetName val="EE CLP HES Income Elig"/>
      <sheetName val="EE UI HES Income Elig"/>
      <sheetName val="C&amp;I CLP EE1"/>
      <sheetName val="C&amp;I UI EE1"/>
      <sheetName val="C&amp;I CLP EE2"/>
      <sheetName val="C&amp;I UI EE2"/>
      <sheetName val="C&amp;I CLP Sm Business"/>
      <sheetName val="C&amp;I UI Sm Business"/>
      <sheetName val="ME Residl Ltg"/>
      <sheetName val="ME Low Income"/>
      <sheetName val="ME Business Prog"/>
      <sheetName val="NH RES ES Homes"/>
      <sheetName val="NH RES HES"/>
      <sheetName val="NH RES ES APPL"/>
      <sheetName val="NH RES HEA"/>
      <sheetName val="NH RES ES LTG"/>
      <sheetName val="NH C&amp;I NEW EQUIP &amp; CONST"/>
      <sheetName val="NH C&amp;I LRG RETROFIT"/>
      <sheetName val="NH C&amp;I SM BUS"/>
      <sheetName val="VT RES NEW CONST"/>
      <sheetName val="VT RES EFF PROD"/>
      <sheetName val="VT RES EXIST HOMES"/>
      <sheetName val="VT BUS NEW CONST"/>
      <sheetName val="VT BUS EXIST FACIL"/>
      <sheetName val="VT BUS CUST CR"/>
      <sheetName val="VT GEOTAR"/>
      <sheetName val="MA RES NEW CONST"/>
      <sheetName val="MA RES COOLING &amp; HTG"/>
      <sheetName val="MA RES MULTI-FAM RETROFIT"/>
      <sheetName val="MA RES MASAVE"/>
      <sheetName val="MA RES O POWER"/>
      <sheetName val="MA RES ES LTG"/>
      <sheetName val="MA RES ES APPL"/>
      <sheetName val="MA LOW INC NEW CONST"/>
      <sheetName val="MA LOW INC RETROFIT"/>
      <sheetName val="MA C&amp;I NEW CONST"/>
      <sheetName val="MA C&amp;I RETROFIT"/>
      <sheetName val="DR IA C&amp;I"/>
      <sheetName val="DR IB"/>
      <sheetName val="DR UA BIP"/>
      <sheetName val="DR UB BIP"/>
      <sheetName val="DR UB API"/>
      <sheetName val="DR UA CBP"/>
      <sheetName val="DR UB CBP"/>
      <sheetName val="DR UA AMP"/>
      <sheetName val="DR UB DR CONTRACTS"/>
      <sheetName val="DR UB SDP"/>
      <sheetName val="EE State Data by Program"/>
      <sheetName val="CA DR Summary Sheet"/>
      <sheetName val="Generation References"/>
      <sheetName val="DR &amp; EE References"/>
      <sheetName val="Top 200 Hours"/>
    </sheetNames>
    <sheetDataSet>
      <sheetData sheetId="0"/>
      <sheetData sheetId="1"/>
      <sheetData sheetId="2"/>
      <sheetData sheetId="3">
        <row r="4">
          <cell r="A4" t="str">
            <v xml:space="preserve">GE LMS100 Simple Cycle </v>
          </cell>
        </row>
        <row r="36">
          <cell r="D36">
            <v>-59.297849810119168</v>
          </cell>
        </row>
        <row r="37">
          <cell r="D37">
            <v>-50.640988452536533</v>
          </cell>
        </row>
        <row r="38">
          <cell r="D38">
            <v>48.525137999062501</v>
          </cell>
        </row>
        <row r="39">
          <cell r="D39">
            <v>100.3751897089283</v>
          </cell>
        </row>
        <row r="40">
          <cell r="D40">
            <v>107.15941164375772</v>
          </cell>
        </row>
        <row r="41">
          <cell r="D41">
            <v>35.341036126009222</v>
          </cell>
        </row>
        <row r="42">
          <cell r="D42">
            <v>53.820954376989306</v>
          </cell>
        </row>
        <row r="43">
          <cell r="D43">
            <v>116.50379272906996</v>
          </cell>
        </row>
        <row r="44">
          <cell r="D44">
            <v>1.1747191740630776</v>
          </cell>
        </row>
        <row r="45">
          <cell r="D45">
            <v>-9.5530822147714536E-2</v>
          </cell>
        </row>
        <row r="46">
          <cell r="D46">
            <v>47.838367427222131</v>
          </cell>
        </row>
        <row r="47">
          <cell r="D47">
            <v>50.683877159777403</v>
          </cell>
        </row>
        <row r="48">
          <cell r="D48">
            <v>33.418931446684297</v>
          </cell>
        </row>
        <row r="49">
          <cell r="D49">
            <v>71.522189509867914</v>
          </cell>
        </row>
        <row r="52">
          <cell r="D52">
            <v>141.41226660768007</v>
          </cell>
        </row>
        <row r="53">
          <cell r="D53">
            <v>34.764944518909225</v>
          </cell>
        </row>
        <row r="54">
          <cell r="D54">
            <v>96.240970729883657</v>
          </cell>
        </row>
        <row r="55">
          <cell r="D55">
            <v>58.506388426823769</v>
          </cell>
        </row>
        <row r="56">
          <cell r="D56">
            <v>-80.738404888188867</v>
          </cell>
        </row>
        <row r="57">
          <cell r="D57">
            <v>-22.883907820416898</v>
          </cell>
        </row>
        <row r="58">
          <cell r="D58">
            <v>21.560747727619752</v>
          </cell>
        </row>
        <row r="59">
          <cell r="D59">
            <v>89.892643922912683</v>
          </cell>
        </row>
        <row r="60">
          <cell r="D60">
            <v>201.32392180930094</v>
          </cell>
        </row>
        <row r="61">
          <cell r="D61">
            <v>-123.41749347290134</v>
          </cell>
        </row>
        <row r="62">
          <cell r="D62">
            <v>16.161870164526711</v>
          </cell>
        </row>
        <row r="65">
          <cell r="D65">
            <v>-33.563695470016739</v>
          </cell>
        </row>
        <row r="66">
          <cell r="D66">
            <v>12.134363075322602</v>
          </cell>
        </row>
        <row r="67">
          <cell r="D67">
            <v>11.632003636478897</v>
          </cell>
        </row>
        <row r="70">
          <cell r="D70">
            <v>49.525435968845279</v>
          </cell>
        </row>
        <row r="71">
          <cell r="D71">
            <v>227.8728406685905</v>
          </cell>
        </row>
        <row r="72">
          <cell r="D72">
            <v>47.243066812612888</v>
          </cell>
        </row>
        <row r="73">
          <cell r="D73">
            <v>437.49021523012158</v>
          </cell>
        </row>
        <row r="74">
          <cell r="D74">
            <v>-93.207656224160814</v>
          </cell>
        </row>
        <row r="75">
          <cell r="D75">
            <v>-11.618389573232085</v>
          </cell>
        </row>
        <row r="76">
          <cell r="D76">
            <v>-6.3389076487585969</v>
          </cell>
        </row>
        <row r="77">
          <cell r="D77">
            <v>7.4650937127135215</v>
          </cell>
        </row>
        <row r="80">
          <cell r="D80">
            <v>104.80909665094822</v>
          </cell>
        </row>
        <row r="81">
          <cell r="D81">
            <v>-9.5925277708226524</v>
          </cell>
        </row>
        <row r="82">
          <cell r="D82">
            <v>256.18617446752523</v>
          </cell>
        </row>
        <row r="83">
          <cell r="D83">
            <v>15.943038692658256</v>
          </cell>
        </row>
        <row r="84">
          <cell r="D84">
            <v>17.843583814118453</v>
          </cell>
        </row>
        <row r="85">
          <cell r="D85">
            <v>-14.805266985803383</v>
          </cell>
        </row>
        <row r="86">
          <cell r="D86">
            <v>8.3540836448597648</v>
          </cell>
        </row>
        <row r="89">
          <cell r="D89">
            <v>3.324967336654252</v>
          </cell>
        </row>
        <row r="90">
          <cell r="D90">
            <v>6.0070289079532317</v>
          </cell>
        </row>
        <row r="91">
          <cell r="D91">
            <v>10.98290928173779</v>
          </cell>
        </row>
        <row r="92">
          <cell r="D92">
            <v>46.018217585252323</v>
          </cell>
        </row>
        <row r="93">
          <cell r="D93">
            <v>50.017586323798213</v>
          </cell>
        </row>
        <row r="94">
          <cell r="D94">
            <v>19.746323135259022</v>
          </cell>
        </row>
        <row r="95">
          <cell r="D95">
            <v>17.417364641696199</v>
          </cell>
        </row>
        <row r="96">
          <cell r="D96">
            <v>1.3984650473965017</v>
          </cell>
        </row>
        <row r="97">
          <cell r="D97">
            <v>71.912960872014665</v>
          </cell>
        </row>
        <row r="98">
          <cell r="D98">
            <v>37.146499002460935</v>
          </cell>
        </row>
      </sheetData>
      <sheetData sheetId="4"/>
      <sheetData sheetId="5"/>
      <sheetData sheetId="6">
        <row r="128">
          <cell r="A128">
            <v>10</v>
          </cell>
        </row>
      </sheetData>
      <sheetData sheetId="7"/>
      <sheetData sheetId="8"/>
      <sheetData sheetId="9"/>
      <sheetData sheetId="10"/>
      <sheetData sheetId="11"/>
      <sheetData sheetId="12"/>
      <sheetData sheetId="13"/>
      <sheetData sheetId="14"/>
      <sheetData sheetId="15"/>
      <sheetData sheetId="16"/>
      <sheetData sheetId="17">
        <row r="11">
          <cell r="B11">
            <v>57211.122667333329</v>
          </cell>
        </row>
        <row r="109">
          <cell r="L109">
            <v>1</v>
          </cell>
        </row>
        <row r="113">
          <cell r="L113">
            <v>3.5000000000000003E-2</v>
          </cell>
        </row>
        <row r="131">
          <cell r="L131">
            <v>0.9</v>
          </cell>
        </row>
        <row r="132">
          <cell r="L132">
            <v>0.8</v>
          </cell>
        </row>
        <row r="133">
          <cell r="L133">
            <v>1</v>
          </cell>
        </row>
        <row r="139">
          <cell r="L139">
            <v>0.16666666666666666</v>
          </cell>
        </row>
        <row r="140">
          <cell r="L140">
            <v>1</v>
          </cell>
        </row>
        <row r="141">
          <cell r="L141">
            <v>1</v>
          </cell>
        </row>
        <row r="145">
          <cell r="A145" t="str">
            <v>Risk Free Rate1-n  (%)-&gt;</v>
          </cell>
        </row>
        <row r="146">
          <cell r="A146" t="str">
            <v>Market Risk Premium1-n  (%)-&gt;</v>
          </cell>
        </row>
        <row r="147">
          <cell r="A147" t="str">
            <v>Debt Ratio1-n  (%)-&gt;</v>
          </cell>
        </row>
        <row r="148">
          <cell r="A148" t="str">
            <v>Cost of Borrowing1-n  (%)-&gt;</v>
          </cell>
        </row>
        <row r="149">
          <cell r="A149" t="str">
            <v>Effective Income Tax Rate1-n  (%)-&gt;</v>
          </cell>
        </row>
        <row r="151">
          <cell r="A151" t="str">
            <v>Allocate Reported O&amp;M between Initial Investment &amp; O&amp;M</v>
          </cell>
        </row>
        <row r="152">
          <cell r="A152" t="str">
            <v xml:space="preserve"> Labor &amp; Services</v>
          </cell>
          <cell r="L152">
            <v>0.75</v>
          </cell>
        </row>
        <row r="153">
          <cell r="A153" t="str">
            <v xml:space="preserve"> Materials &amp; Supplies</v>
          </cell>
          <cell r="L153">
            <v>1</v>
          </cell>
        </row>
        <row r="154">
          <cell r="L154">
            <v>0.95</v>
          </cell>
        </row>
        <row r="155">
          <cell r="L155">
            <v>0.75</v>
          </cell>
        </row>
        <row r="156">
          <cell r="L156">
            <v>0.95</v>
          </cell>
        </row>
        <row r="157">
          <cell r="L157">
            <v>0</v>
          </cell>
        </row>
        <row r="166">
          <cell r="L166">
            <v>10</v>
          </cell>
          <cell r="M166">
            <v>281.34800000000001</v>
          </cell>
        </row>
      </sheetData>
      <sheetData sheetId="18">
        <row r="7">
          <cell r="D7">
            <v>902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9">
          <cell r="C9">
            <v>5394</v>
          </cell>
        </row>
      </sheetData>
      <sheetData sheetId="79">
        <row r="5">
          <cell r="B5">
            <v>155578.44467834898</v>
          </cell>
        </row>
      </sheetData>
      <sheetData sheetId="80"/>
      <sheetData sheetId="81"/>
      <sheetData sheetId="82">
        <row r="4">
          <cell r="A4">
            <v>1</v>
          </cell>
          <cell r="B4">
            <v>499.71</v>
          </cell>
        </row>
        <row r="5">
          <cell r="A5">
            <v>2</v>
          </cell>
          <cell r="B5">
            <v>402.98</v>
          </cell>
        </row>
        <row r="6">
          <cell r="A6">
            <v>3</v>
          </cell>
          <cell r="B6">
            <v>361.56666666666666</v>
          </cell>
        </row>
        <row r="7">
          <cell r="A7">
            <v>4</v>
          </cell>
          <cell r="B7">
            <v>338.86</v>
          </cell>
        </row>
        <row r="8">
          <cell r="A8">
            <v>5</v>
          </cell>
          <cell r="B8">
            <v>321.12600000000003</v>
          </cell>
        </row>
        <row r="9">
          <cell r="A9">
            <v>6</v>
          </cell>
          <cell r="B9">
            <v>308.88666666666671</v>
          </cell>
        </row>
        <row r="10">
          <cell r="A10">
            <v>7</v>
          </cell>
          <cell r="B10">
            <v>299.90571428571428</v>
          </cell>
        </row>
        <row r="11">
          <cell r="A11">
            <v>8</v>
          </cell>
          <cell r="B11">
            <v>293.0025</v>
          </cell>
        </row>
        <row r="12">
          <cell r="A12">
            <v>9</v>
          </cell>
          <cell r="B12">
            <v>286.63111111111107</v>
          </cell>
        </row>
        <row r="13">
          <cell r="A13">
            <v>10</v>
          </cell>
          <cell r="B13">
            <v>281.34800000000001</v>
          </cell>
        </row>
        <row r="14">
          <cell r="A14">
            <v>11</v>
          </cell>
          <cell r="B14">
            <v>276.90000000000003</v>
          </cell>
        </row>
        <row r="15">
          <cell r="A15">
            <v>12</v>
          </cell>
          <cell r="B15">
            <v>272.77916666666664</v>
          </cell>
        </row>
        <row r="16">
          <cell r="A16">
            <v>13</v>
          </cell>
          <cell r="B16">
            <v>269.21692307692308</v>
          </cell>
        </row>
        <row r="17">
          <cell r="A17">
            <v>14</v>
          </cell>
          <cell r="B17">
            <v>265.82</v>
          </cell>
        </row>
        <row r="18">
          <cell r="A18">
            <v>15</v>
          </cell>
          <cell r="B18">
            <v>262.74599999999998</v>
          </cell>
        </row>
        <row r="19">
          <cell r="A19">
            <v>16</v>
          </cell>
          <cell r="B19">
            <v>260.00874999999996</v>
          </cell>
        </row>
        <row r="20">
          <cell r="A20">
            <v>17</v>
          </cell>
          <cell r="B20">
            <v>257.36117647058819</v>
          </cell>
        </row>
        <row r="21">
          <cell r="A21">
            <v>18</v>
          </cell>
          <cell r="B21">
            <v>254.9744444444444</v>
          </cell>
        </row>
        <row r="22">
          <cell r="A22">
            <v>19</v>
          </cell>
          <cell r="B22">
            <v>252.69894736842099</v>
          </cell>
        </row>
        <row r="23">
          <cell r="A23">
            <v>20</v>
          </cell>
          <cell r="B23">
            <v>250.31599999999995</v>
          </cell>
        </row>
        <row r="24">
          <cell r="A24">
            <v>21</v>
          </cell>
          <cell r="B24">
            <v>248.14047619047614</v>
          </cell>
        </row>
        <row r="25">
          <cell r="A25">
            <v>22</v>
          </cell>
          <cell r="B25">
            <v>246.10227272727269</v>
          </cell>
        </row>
        <row r="26">
          <cell r="A26">
            <v>23</v>
          </cell>
          <cell r="B26">
            <v>244.1978260869565</v>
          </cell>
        </row>
        <row r="27">
          <cell r="A27">
            <v>24</v>
          </cell>
          <cell r="B27">
            <v>242.41291666666663</v>
          </cell>
        </row>
        <row r="28">
          <cell r="A28">
            <v>25</v>
          </cell>
          <cell r="B28">
            <v>240.60679999999996</v>
          </cell>
        </row>
        <row r="29">
          <cell r="A29">
            <v>26</v>
          </cell>
          <cell r="B29">
            <v>238.91961538461535</v>
          </cell>
        </row>
        <row r="30">
          <cell r="A30">
            <v>27</v>
          </cell>
          <cell r="B30">
            <v>237.33703703703699</v>
          </cell>
        </row>
        <row r="31">
          <cell r="A31">
            <v>28</v>
          </cell>
          <cell r="B31">
            <v>235.85821428571424</v>
          </cell>
        </row>
        <row r="32">
          <cell r="A32">
            <v>29</v>
          </cell>
          <cell r="B32">
            <v>234.40241379310342</v>
          </cell>
        </row>
        <row r="33">
          <cell r="A33">
            <v>30</v>
          </cell>
          <cell r="B33">
            <v>233.00066666666666</v>
          </cell>
        </row>
        <row r="34">
          <cell r="A34">
            <v>31</v>
          </cell>
          <cell r="B34">
            <v>231.68032258064514</v>
          </cell>
        </row>
        <row r="35">
          <cell r="A35">
            <v>32</v>
          </cell>
          <cell r="B35">
            <v>230.38687499999997</v>
          </cell>
        </row>
        <row r="36">
          <cell r="A36">
            <v>33</v>
          </cell>
          <cell r="B36">
            <v>229.16060606060603</v>
          </cell>
        </row>
        <row r="37">
          <cell r="A37">
            <v>34</v>
          </cell>
          <cell r="B37">
            <v>227.99352941176468</v>
          </cell>
        </row>
        <row r="38">
          <cell r="A38">
            <v>35</v>
          </cell>
          <cell r="B38">
            <v>226.83742857142852</v>
          </cell>
        </row>
        <row r="39">
          <cell r="A39">
            <v>36</v>
          </cell>
          <cell r="B39">
            <v>225.74222222222218</v>
          </cell>
        </row>
        <row r="40">
          <cell r="A40">
            <v>37</v>
          </cell>
          <cell r="B40">
            <v>224.69621621621619</v>
          </cell>
        </row>
        <row r="41">
          <cell r="A41">
            <v>38</v>
          </cell>
          <cell r="B41">
            <v>223.69421052631577</v>
          </cell>
        </row>
        <row r="42">
          <cell r="A42">
            <v>39</v>
          </cell>
          <cell r="B42">
            <v>222.74128205128204</v>
          </cell>
        </row>
        <row r="43">
          <cell r="A43">
            <v>40</v>
          </cell>
          <cell r="B43">
            <v>221.81525000000002</v>
          </cell>
        </row>
        <row r="44">
          <cell r="A44">
            <v>41</v>
          </cell>
          <cell r="B44">
            <v>220.90682926829268</v>
          </cell>
        </row>
        <row r="45">
          <cell r="A45">
            <v>42</v>
          </cell>
          <cell r="B45">
            <v>220.0264285714286</v>
          </cell>
        </row>
        <row r="46">
          <cell r="A46">
            <v>43</v>
          </cell>
          <cell r="B46">
            <v>219.14581395348839</v>
          </cell>
        </row>
        <row r="47">
          <cell r="A47">
            <v>44</v>
          </cell>
          <cell r="B47">
            <v>218.30295454545455</v>
          </cell>
        </row>
        <row r="48">
          <cell r="A48">
            <v>45</v>
          </cell>
          <cell r="B48">
            <v>217.48044444444446</v>
          </cell>
        </row>
        <row r="49">
          <cell r="A49">
            <v>46</v>
          </cell>
          <cell r="B49">
            <v>216.68695652173915</v>
          </cell>
        </row>
        <row r="50">
          <cell r="A50">
            <v>47</v>
          </cell>
          <cell r="B50">
            <v>215.9268085106383</v>
          </cell>
        </row>
        <row r="51">
          <cell r="A51">
            <v>48</v>
          </cell>
          <cell r="B51">
            <v>215.14770833333333</v>
          </cell>
        </row>
        <row r="52">
          <cell r="A52">
            <v>49</v>
          </cell>
          <cell r="B52">
            <v>214.38448979591837</v>
          </cell>
        </row>
        <row r="53">
          <cell r="A53">
            <v>50</v>
          </cell>
          <cell r="B53">
            <v>213.64359999999999</v>
          </cell>
        </row>
        <row r="54">
          <cell r="A54">
            <v>51</v>
          </cell>
          <cell r="B54">
            <v>212.92196078431374</v>
          </cell>
        </row>
        <row r="55">
          <cell r="A55">
            <v>52</v>
          </cell>
          <cell r="B55">
            <v>212.22634615384615</v>
          </cell>
        </row>
        <row r="56">
          <cell r="A56">
            <v>53</v>
          </cell>
          <cell r="B56">
            <v>211.54018867924529</v>
          </cell>
        </row>
        <row r="57">
          <cell r="A57">
            <v>54</v>
          </cell>
          <cell r="B57">
            <v>210.85092592592594</v>
          </cell>
        </row>
        <row r="58">
          <cell r="A58">
            <v>55</v>
          </cell>
          <cell r="B58">
            <v>210.10072727272728</v>
          </cell>
        </row>
        <row r="59">
          <cell r="A59">
            <v>56</v>
          </cell>
          <cell r="B59">
            <v>209.37392857142859</v>
          </cell>
        </row>
        <row r="60">
          <cell r="A60">
            <v>57</v>
          </cell>
          <cell r="B60">
            <v>208.67122807017543</v>
          </cell>
        </row>
        <row r="61">
          <cell r="A61">
            <v>58</v>
          </cell>
          <cell r="B61">
            <v>207.98413793103447</v>
          </cell>
        </row>
        <row r="62">
          <cell r="A62">
            <v>59</v>
          </cell>
          <cell r="B62">
            <v>207.31576271186438</v>
          </cell>
        </row>
        <row r="63">
          <cell r="A63">
            <v>60</v>
          </cell>
          <cell r="B63">
            <v>206.66166666666666</v>
          </cell>
        </row>
        <row r="64">
          <cell r="A64">
            <v>61</v>
          </cell>
          <cell r="B64">
            <v>206.01491803278685</v>
          </cell>
        </row>
        <row r="65">
          <cell r="A65">
            <v>62</v>
          </cell>
          <cell r="B65">
            <v>205.38435483870964</v>
          </cell>
        </row>
        <row r="66">
          <cell r="A66">
            <v>63</v>
          </cell>
          <cell r="B66">
            <v>204.76587301587298</v>
          </cell>
        </row>
        <row r="67">
          <cell r="A67">
            <v>64</v>
          </cell>
          <cell r="B67">
            <v>204.14187499999997</v>
          </cell>
        </row>
        <row r="68">
          <cell r="A68">
            <v>65</v>
          </cell>
          <cell r="B68">
            <v>203.53569230769227</v>
          </cell>
        </row>
        <row r="69">
          <cell r="A69">
            <v>66</v>
          </cell>
          <cell r="B69">
            <v>202.92333333333332</v>
          </cell>
        </row>
        <row r="70">
          <cell r="A70">
            <v>67</v>
          </cell>
          <cell r="B70">
            <v>202.3225373134328</v>
          </cell>
        </row>
        <row r="71">
          <cell r="A71">
            <v>68</v>
          </cell>
          <cell r="B71">
            <v>201.73294117647058</v>
          </cell>
        </row>
        <row r="72">
          <cell r="A72">
            <v>69</v>
          </cell>
          <cell r="B72">
            <v>201.1424637681159</v>
          </cell>
        </row>
        <row r="73">
          <cell r="A73">
            <v>70</v>
          </cell>
          <cell r="B73">
            <v>200.5638571428571</v>
          </cell>
        </row>
        <row r="74">
          <cell r="A74">
            <v>71</v>
          </cell>
          <cell r="B74">
            <v>200.00042253521121</v>
          </cell>
        </row>
        <row r="75">
          <cell r="A75">
            <v>72</v>
          </cell>
          <cell r="B75">
            <v>199.43319444444441</v>
          </cell>
        </row>
        <row r="76">
          <cell r="A76">
            <v>73</v>
          </cell>
          <cell r="B76">
            <v>198.86273972602737</v>
          </cell>
        </row>
        <row r="77">
          <cell r="A77">
            <v>74</v>
          </cell>
          <cell r="B77">
            <v>198.30445945945942</v>
          </cell>
        </row>
        <row r="78">
          <cell r="A78">
            <v>75</v>
          </cell>
          <cell r="B78">
            <v>197.76026666666664</v>
          </cell>
        </row>
        <row r="79">
          <cell r="A79">
            <v>76</v>
          </cell>
          <cell r="B79">
            <v>197.22421052631574</v>
          </cell>
        </row>
        <row r="80">
          <cell r="A80">
            <v>77</v>
          </cell>
          <cell r="B80">
            <v>196.69519480519477</v>
          </cell>
        </row>
        <row r="81">
          <cell r="A81">
            <v>78</v>
          </cell>
          <cell r="B81">
            <v>196.17705128205125</v>
          </cell>
        </row>
        <row r="82">
          <cell r="A82">
            <v>79</v>
          </cell>
          <cell r="B82">
            <v>195.67088607594934</v>
          </cell>
        </row>
        <row r="83">
          <cell r="A83">
            <v>80</v>
          </cell>
          <cell r="B83">
            <v>195.17337499999999</v>
          </cell>
        </row>
        <row r="84">
          <cell r="A84">
            <v>81</v>
          </cell>
          <cell r="B84">
            <v>194.68802469135801</v>
          </cell>
        </row>
        <row r="85">
          <cell r="A85">
            <v>82</v>
          </cell>
          <cell r="B85">
            <v>194.20207317073169</v>
          </cell>
        </row>
        <row r="86">
          <cell r="A86">
            <v>83</v>
          </cell>
          <cell r="B86">
            <v>193.7278313253012</v>
          </cell>
        </row>
        <row r="87">
          <cell r="A87">
            <v>84</v>
          </cell>
          <cell r="B87">
            <v>193.26309523809525</v>
          </cell>
        </row>
        <row r="88">
          <cell r="A88">
            <v>85</v>
          </cell>
          <cell r="B88">
            <v>192.80505882352941</v>
          </cell>
        </row>
        <row r="89">
          <cell r="A89">
            <v>86</v>
          </cell>
          <cell r="B89">
            <v>192.35034883720931</v>
          </cell>
        </row>
        <row r="90">
          <cell r="A90">
            <v>87</v>
          </cell>
          <cell r="B90">
            <v>191.89781609195404</v>
          </cell>
        </row>
        <row r="91">
          <cell r="A91">
            <v>88</v>
          </cell>
          <cell r="B91">
            <v>191.45034090909093</v>
          </cell>
        </row>
        <row r="92">
          <cell r="A92">
            <v>89</v>
          </cell>
          <cell r="B92">
            <v>191.00606741573034</v>
          </cell>
        </row>
        <row r="93">
          <cell r="A93">
            <v>90</v>
          </cell>
          <cell r="B93">
            <v>190.56966666666668</v>
          </cell>
        </row>
        <row r="94">
          <cell r="A94">
            <v>91</v>
          </cell>
          <cell r="B94">
            <v>190.14164835164834</v>
          </cell>
        </row>
        <row r="95">
          <cell r="A95">
            <v>92</v>
          </cell>
          <cell r="B95">
            <v>189.71554347826086</v>
          </cell>
        </row>
        <row r="96">
          <cell r="A96">
            <v>93</v>
          </cell>
          <cell r="B96">
            <v>189.29677419354837</v>
          </cell>
        </row>
        <row r="97">
          <cell r="A97">
            <v>94</v>
          </cell>
          <cell r="B97">
            <v>188.88180851063828</v>
          </cell>
        </row>
        <row r="98">
          <cell r="A98">
            <v>95</v>
          </cell>
          <cell r="B98">
            <v>188.4754736842105</v>
          </cell>
        </row>
        <row r="99">
          <cell r="A99">
            <v>96</v>
          </cell>
          <cell r="B99">
            <v>188.07572916666663</v>
          </cell>
        </row>
        <row r="100">
          <cell r="A100">
            <v>97</v>
          </cell>
          <cell r="B100">
            <v>187.67536082474226</v>
          </cell>
        </row>
        <row r="101">
          <cell r="A101">
            <v>98</v>
          </cell>
          <cell r="B101">
            <v>187.28214285714284</v>
          </cell>
        </row>
        <row r="102">
          <cell r="A102">
            <v>99</v>
          </cell>
          <cell r="B102">
            <v>186.89636363636362</v>
          </cell>
        </row>
        <row r="103">
          <cell r="A103">
            <v>100</v>
          </cell>
          <cell r="B103">
            <v>186.49969999999996</v>
          </cell>
        </row>
        <row r="104">
          <cell r="A104">
            <v>101</v>
          </cell>
          <cell r="B104">
            <v>186.10821782178215</v>
          </cell>
        </row>
        <row r="105">
          <cell r="A105">
            <v>102</v>
          </cell>
          <cell r="B105">
            <v>185.72254901960781</v>
          </cell>
        </row>
        <row r="106">
          <cell r="A106">
            <v>103</v>
          </cell>
          <cell r="B106">
            <v>185.33941747572811</v>
          </cell>
        </row>
        <row r="107">
          <cell r="A107">
            <v>104</v>
          </cell>
          <cell r="B107">
            <v>184.9622115384615</v>
          </cell>
        </row>
        <row r="108">
          <cell r="A108">
            <v>105</v>
          </cell>
          <cell r="B108">
            <v>184.5913333333333</v>
          </cell>
        </row>
        <row r="109">
          <cell r="A109">
            <v>106</v>
          </cell>
          <cell r="B109">
            <v>184.22698113207545</v>
          </cell>
        </row>
        <row r="110">
          <cell r="A110">
            <v>107</v>
          </cell>
          <cell r="B110">
            <v>183.86831775700932</v>
          </cell>
        </row>
        <row r="111">
          <cell r="A111">
            <v>108</v>
          </cell>
          <cell r="B111">
            <v>183.50999999999996</v>
          </cell>
        </row>
        <row r="112">
          <cell r="A112">
            <v>109</v>
          </cell>
          <cell r="B112">
            <v>183.15137614678892</v>
          </cell>
        </row>
        <row r="113">
          <cell r="A113">
            <v>110</v>
          </cell>
          <cell r="B113">
            <v>182.79836363636358</v>
          </cell>
        </row>
        <row r="114">
          <cell r="A114">
            <v>111</v>
          </cell>
          <cell r="B114">
            <v>182.45126126126121</v>
          </cell>
        </row>
        <row r="115">
          <cell r="A115">
            <v>112</v>
          </cell>
          <cell r="B115">
            <v>182.10901785714279</v>
          </cell>
        </row>
        <row r="116">
          <cell r="A116">
            <v>113</v>
          </cell>
          <cell r="B116">
            <v>181.76991150442473</v>
          </cell>
        </row>
        <row r="117">
          <cell r="A117">
            <v>114</v>
          </cell>
          <cell r="B117">
            <v>181.42631578947362</v>
          </cell>
        </row>
        <row r="118">
          <cell r="A118">
            <v>115</v>
          </cell>
          <cell r="B118">
            <v>181.0866086956521</v>
          </cell>
        </row>
        <row r="119">
          <cell r="A119">
            <v>116</v>
          </cell>
          <cell r="B119">
            <v>180.74999999999994</v>
          </cell>
        </row>
        <row r="120">
          <cell r="A120">
            <v>117</v>
          </cell>
          <cell r="B120">
            <v>180.41786324786318</v>
          </cell>
        </row>
        <row r="121">
          <cell r="A121">
            <v>118</v>
          </cell>
          <cell r="B121">
            <v>180.09127118644062</v>
          </cell>
        </row>
        <row r="122">
          <cell r="A122">
            <v>119</v>
          </cell>
          <cell r="B122">
            <v>179.76831932773104</v>
          </cell>
        </row>
        <row r="123">
          <cell r="A123">
            <v>120</v>
          </cell>
          <cell r="B123">
            <v>179.45049999999995</v>
          </cell>
        </row>
        <row r="124">
          <cell r="A124">
            <v>121</v>
          </cell>
          <cell r="B124">
            <v>179.13661157024791</v>
          </cell>
        </row>
        <row r="125">
          <cell r="A125">
            <v>122</v>
          </cell>
          <cell r="B125">
            <v>178.82754098360653</v>
          </cell>
        </row>
        <row r="126">
          <cell r="A126">
            <v>123</v>
          </cell>
          <cell r="B126">
            <v>178.52341463414629</v>
          </cell>
        </row>
        <row r="127">
          <cell r="A127">
            <v>124</v>
          </cell>
          <cell r="B127">
            <v>178.22411290322574</v>
          </cell>
        </row>
        <row r="128">
          <cell r="A128">
            <v>125</v>
          </cell>
          <cell r="B128">
            <v>177.92599999999993</v>
          </cell>
        </row>
        <row r="129">
          <cell r="A129">
            <v>126</v>
          </cell>
          <cell r="B129">
            <v>177.63246031746024</v>
          </cell>
        </row>
        <row r="130">
          <cell r="A130">
            <v>127</v>
          </cell>
          <cell r="B130">
            <v>177.34007874015742</v>
          </cell>
        </row>
        <row r="131">
          <cell r="A131">
            <v>128</v>
          </cell>
          <cell r="B131">
            <v>177.05054687499992</v>
          </cell>
        </row>
        <row r="132">
          <cell r="A132">
            <v>129</v>
          </cell>
          <cell r="B132">
            <v>176.76062015503871</v>
          </cell>
        </row>
        <row r="133">
          <cell r="A133">
            <v>130</v>
          </cell>
          <cell r="B133">
            <v>176.47507692307684</v>
          </cell>
        </row>
        <row r="134">
          <cell r="A134">
            <v>131</v>
          </cell>
          <cell r="B134">
            <v>176.19160305343505</v>
          </cell>
        </row>
        <row r="135">
          <cell r="A135">
            <v>132</v>
          </cell>
          <cell r="B135">
            <v>175.90962121212115</v>
          </cell>
        </row>
        <row r="136">
          <cell r="A136">
            <v>133</v>
          </cell>
          <cell r="B136">
            <v>175.62932330827061</v>
          </cell>
        </row>
        <row r="137">
          <cell r="A137">
            <v>134</v>
          </cell>
          <cell r="B137">
            <v>175.350671641791</v>
          </cell>
        </row>
        <row r="138">
          <cell r="A138">
            <v>135</v>
          </cell>
          <cell r="B138">
            <v>175.07481481481477</v>
          </cell>
        </row>
        <row r="139">
          <cell r="A139">
            <v>136</v>
          </cell>
          <cell r="B139">
            <v>174.8018382352941</v>
          </cell>
        </row>
        <row r="140">
          <cell r="A140">
            <v>137</v>
          </cell>
          <cell r="B140">
            <v>174.53204379562041</v>
          </cell>
        </row>
        <row r="141">
          <cell r="A141">
            <v>138</v>
          </cell>
          <cell r="B141">
            <v>174.2646376811594</v>
          </cell>
        </row>
        <row r="142">
          <cell r="A142">
            <v>139</v>
          </cell>
          <cell r="B142">
            <v>173.99913669064748</v>
          </cell>
        </row>
        <row r="143">
          <cell r="A143">
            <v>140</v>
          </cell>
          <cell r="B143">
            <v>173.73349999999999</v>
          </cell>
        </row>
        <row r="144">
          <cell r="A144">
            <v>141</v>
          </cell>
          <cell r="B144">
            <v>173.46808510638297</v>
          </cell>
        </row>
        <row r="145">
          <cell r="A145">
            <v>142</v>
          </cell>
          <cell r="B145">
            <v>173.20352112676056</v>
          </cell>
        </row>
        <row r="146">
          <cell r="A146">
            <v>143</v>
          </cell>
          <cell r="B146">
            <v>172.94090909090912</v>
          </cell>
        </row>
        <row r="147">
          <cell r="A147">
            <v>144</v>
          </cell>
          <cell r="B147">
            <v>172.6813888888889</v>
          </cell>
        </row>
        <row r="148">
          <cell r="A148">
            <v>145</v>
          </cell>
          <cell r="B148">
            <v>172.42310344827587</v>
          </cell>
        </row>
        <row r="149">
          <cell r="A149">
            <v>146</v>
          </cell>
          <cell r="B149">
            <v>172.16479452054796</v>
          </cell>
        </row>
        <row r="150">
          <cell r="A150">
            <v>147</v>
          </cell>
          <cell r="B150">
            <v>171.90394557823129</v>
          </cell>
        </row>
        <row r="151">
          <cell r="A151">
            <v>148</v>
          </cell>
          <cell r="B151">
            <v>171.6462162162162</v>
          </cell>
        </row>
        <row r="152">
          <cell r="A152">
            <v>149</v>
          </cell>
          <cell r="B152">
            <v>171.39147651006709</v>
          </cell>
        </row>
        <row r="153">
          <cell r="A153">
            <v>150</v>
          </cell>
          <cell r="B153">
            <v>171.13419999999999</v>
          </cell>
        </row>
        <row r="154">
          <cell r="A154">
            <v>151</v>
          </cell>
          <cell r="B154">
            <v>170.88026490066224</v>
          </cell>
        </row>
        <row r="155">
          <cell r="A155">
            <v>152</v>
          </cell>
          <cell r="B155">
            <v>170.6274342105263</v>
          </cell>
        </row>
        <row r="156">
          <cell r="A156">
            <v>153</v>
          </cell>
          <cell r="B156">
            <v>170.37647058823529</v>
          </cell>
        </row>
        <row r="157">
          <cell r="A157">
            <v>154</v>
          </cell>
          <cell r="B157">
            <v>170.12597402597402</v>
          </cell>
        </row>
        <row r="158">
          <cell r="A158">
            <v>155</v>
          </cell>
          <cell r="B158">
            <v>169.87709677419352</v>
          </cell>
        </row>
        <row r="159">
          <cell r="A159">
            <v>156</v>
          </cell>
          <cell r="B159">
            <v>169.63070512820511</v>
          </cell>
        </row>
        <row r="160">
          <cell r="A160">
            <v>157</v>
          </cell>
          <cell r="B160">
            <v>169.38528662420379</v>
          </cell>
        </row>
        <row r="161">
          <cell r="A161">
            <v>158</v>
          </cell>
          <cell r="B161">
            <v>169.14025316455692</v>
          </cell>
        </row>
        <row r="162">
          <cell r="A162">
            <v>159</v>
          </cell>
          <cell r="B162">
            <v>168.89773584905657</v>
          </cell>
        </row>
        <row r="163">
          <cell r="A163">
            <v>160</v>
          </cell>
          <cell r="B163">
            <v>168.65799999999996</v>
          </cell>
        </row>
        <row r="164">
          <cell r="A164">
            <v>161</v>
          </cell>
          <cell r="B164">
            <v>168.41677018633538</v>
          </cell>
        </row>
        <row r="165">
          <cell r="A165">
            <v>162</v>
          </cell>
          <cell r="B165">
            <v>168.17839506172837</v>
          </cell>
        </row>
        <row r="166">
          <cell r="A166">
            <v>163</v>
          </cell>
          <cell r="B166">
            <v>167.94263803680977</v>
          </cell>
        </row>
        <row r="167">
          <cell r="A167">
            <v>164</v>
          </cell>
          <cell r="B167">
            <v>167.70810975609751</v>
          </cell>
        </row>
        <row r="168">
          <cell r="A168">
            <v>165</v>
          </cell>
          <cell r="B168">
            <v>167.47509090909085</v>
          </cell>
        </row>
        <row r="169">
          <cell r="A169">
            <v>166</v>
          </cell>
          <cell r="B169">
            <v>167.24337349397584</v>
          </cell>
        </row>
        <row r="170">
          <cell r="A170">
            <v>167</v>
          </cell>
          <cell r="B170">
            <v>167.01299401197599</v>
          </cell>
        </row>
        <row r="171">
          <cell r="A171">
            <v>168</v>
          </cell>
          <cell r="B171">
            <v>166.78380952380945</v>
          </cell>
        </row>
        <row r="172">
          <cell r="A172">
            <v>169</v>
          </cell>
          <cell r="B172">
            <v>166.55449704142003</v>
          </cell>
        </row>
        <row r="173">
          <cell r="A173">
            <v>170</v>
          </cell>
          <cell r="B173">
            <v>166.32517647058816</v>
          </cell>
        </row>
        <row r="174">
          <cell r="A174">
            <v>171</v>
          </cell>
          <cell r="B174">
            <v>166.09812865497068</v>
          </cell>
        </row>
        <row r="175">
          <cell r="A175">
            <v>172</v>
          </cell>
          <cell r="B175">
            <v>165.86749999999992</v>
          </cell>
        </row>
        <row r="176">
          <cell r="A176">
            <v>173</v>
          </cell>
          <cell r="B176">
            <v>165.6383236994219</v>
          </cell>
        </row>
        <row r="177">
          <cell r="A177">
            <v>174</v>
          </cell>
          <cell r="B177">
            <v>165.41132183908039</v>
          </cell>
        </row>
        <row r="178">
          <cell r="A178">
            <v>175</v>
          </cell>
          <cell r="B178">
            <v>165.18519999999992</v>
          </cell>
        </row>
        <row r="179">
          <cell r="A179">
            <v>176</v>
          </cell>
          <cell r="B179">
            <v>164.96147727272722</v>
          </cell>
        </row>
        <row r="180">
          <cell r="A180">
            <v>177</v>
          </cell>
          <cell r="B180">
            <v>164.74005649717509</v>
          </cell>
        </row>
        <row r="181">
          <cell r="A181">
            <v>178</v>
          </cell>
          <cell r="B181">
            <v>164.52078651685389</v>
          </cell>
        </row>
        <row r="182">
          <cell r="A182">
            <v>179</v>
          </cell>
          <cell r="B182">
            <v>164.30273743016755</v>
          </cell>
        </row>
        <row r="183">
          <cell r="A183">
            <v>180</v>
          </cell>
          <cell r="B183">
            <v>164.0850555555555</v>
          </cell>
        </row>
        <row r="184">
          <cell r="A184">
            <v>181</v>
          </cell>
          <cell r="B184">
            <v>163.86961325966845</v>
          </cell>
        </row>
        <row r="185">
          <cell r="A185">
            <v>182</v>
          </cell>
          <cell r="B185">
            <v>163.65642857142851</v>
          </cell>
        </row>
        <row r="186">
          <cell r="A186">
            <v>183</v>
          </cell>
          <cell r="B186">
            <v>163.44060109289612</v>
          </cell>
        </row>
        <row r="187">
          <cell r="A187">
            <v>184</v>
          </cell>
          <cell r="B187">
            <v>163.2268478260869</v>
          </cell>
        </row>
        <row r="188">
          <cell r="A188">
            <v>185</v>
          </cell>
          <cell r="B188">
            <v>163.01524324324319</v>
          </cell>
        </row>
        <row r="189">
          <cell r="A189">
            <v>186</v>
          </cell>
          <cell r="B189">
            <v>162.80526881720425</v>
          </cell>
        </row>
        <row r="190">
          <cell r="A190">
            <v>187</v>
          </cell>
          <cell r="B190">
            <v>162.59748663101601</v>
          </cell>
        </row>
        <row r="191">
          <cell r="A191">
            <v>188</v>
          </cell>
          <cell r="B191">
            <v>162.39132978723401</v>
          </cell>
        </row>
        <row r="192">
          <cell r="A192">
            <v>189</v>
          </cell>
          <cell r="B192">
            <v>162.18671957671955</v>
          </cell>
        </row>
        <row r="193">
          <cell r="A193">
            <v>190</v>
          </cell>
          <cell r="B193">
            <v>161.98136842105259</v>
          </cell>
        </row>
        <row r="194">
          <cell r="A194">
            <v>191</v>
          </cell>
          <cell r="B194">
            <v>161.77748691099472</v>
          </cell>
        </row>
        <row r="195">
          <cell r="A195">
            <v>192</v>
          </cell>
          <cell r="B195">
            <v>161.57552083333329</v>
          </cell>
        </row>
        <row r="196">
          <cell r="A196">
            <v>193</v>
          </cell>
          <cell r="B196">
            <v>161.37461139896368</v>
          </cell>
        </row>
        <row r="197">
          <cell r="A197">
            <v>194</v>
          </cell>
          <cell r="B197">
            <v>161.17546391752575</v>
          </cell>
        </row>
        <row r="198">
          <cell r="A198">
            <v>195</v>
          </cell>
          <cell r="B198">
            <v>160.9782051282051</v>
          </cell>
        </row>
        <row r="199">
          <cell r="A199">
            <v>196</v>
          </cell>
          <cell r="B199">
            <v>160.78096938775505</v>
          </cell>
        </row>
        <row r="200">
          <cell r="A200">
            <v>197</v>
          </cell>
          <cell r="B200">
            <v>160.58568527918777</v>
          </cell>
        </row>
        <row r="201">
          <cell r="A201">
            <v>198</v>
          </cell>
          <cell r="B201">
            <v>160.3913131313131</v>
          </cell>
        </row>
        <row r="202">
          <cell r="A202">
            <v>199</v>
          </cell>
          <cell r="B202">
            <v>160.19829145728639</v>
          </cell>
        </row>
        <row r="203">
          <cell r="A203">
            <v>200</v>
          </cell>
          <cell r="B203">
            <v>160.00659999999996</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RTP Instructions"/>
      <sheetName val="ORTP Summary"/>
      <sheetName val="Screening Analysis"/>
      <sheetName val="Generation Calcs&gt;&gt;&gt;"/>
      <sheetName val="CONE Calcs"/>
      <sheetName val="Construction Cashflows"/>
      <sheetName val="Annual Updates Calcs"/>
      <sheetName val="Generation Data&gt;&gt;&gt;"/>
      <sheetName val="Unit Specifications"/>
      <sheetName val="Capital Costs"/>
      <sheetName val="O&amp;M Costs"/>
      <sheetName val="Cost Assumptions"/>
      <sheetName val="Interconnection Costs"/>
      <sheetName val="Capital Drawdown Schedule"/>
      <sheetName val="Tax Depreciation"/>
      <sheetName val="Revenue Offsets"/>
      <sheetName val="Screening Costs"/>
      <sheetName val="Cost Index Data"/>
      <sheetName val="Revenue Calcs&gt;&gt;"/>
      <sheetName val="2018-2019 Results"/>
      <sheetName val="Annual Results"/>
      <sheetName val="Margin Forecast"/>
      <sheetName val="Futures Prices"/>
      <sheetName val="Historical Prices"/>
      <sheetName val="DR Calcs&gt;&gt;"/>
      <sheetName val="Mass Market DR"/>
      <sheetName val="Large DR"/>
      <sheetName val="Report&gt;&gt;"/>
      <sheetName val="Capital Costs Summary"/>
      <sheetName val="ORTP Calc Summary"/>
      <sheetName val="Comparison to Shaw Values"/>
      <sheetName val="Index Summary"/>
      <sheetName val="Wind Sensitivities"/>
      <sheetName val="ATWACC Sensitivities"/>
      <sheetName val="Reference Plants"/>
      <sheetName val="Summary"/>
    </sheetNames>
    <sheetDataSet>
      <sheetData sheetId="0"/>
      <sheetData sheetId="1"/>
      <sheetData sheetId="2"/>
      <sheetData sheetId="3"/>
      <sheetData sheetId="4">
        <row r="6">
          <cell r="D6" t="str">
            <v>CC</v>
          </cell>
        </row>
        <row r="16">
          <cell r="D16">
            <v>1202.4784478898</v>
          </cell>
        </row>
        <row r="18">
          <cell r="D18">
            <v>1160.1156683199192</v>
          </cell>
        </row>
        <row r="30">
          <cell r="D30">
            <v>3.8362444225849917</v>
          </cell>
        </row>
        <row r="32">
          <cell r="D32">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verSheet"/>
      <sheetName val="Input"/>
      <sheetName val="General Information"/>
      <sheetName val="EQ_Input"/>
      <sheetName val="BASE WAGE"/>
      <sheetName val="PipeAssem"/>
      <sheetName val="Est Sum (2)"/>
      <sheetName val="Proj Ind Input"/>
      <sheetName val="Sum"/>
      <sheetName val="Parametrics"/>
      <sheetName val="Client"/>
      <sheetName val="Owner cost"/>
      <sheetName val="Escal2"/>
      <sheetName val="Staffing"/>
      <sheetName val="Indirects"/>
      <sheetName val="Conus"/>
      <sheetName val="Master_EQ_List"/>
      <sheetName val="Sub Crew - All Inclusive"/>
      <sheetName val="EquipTable"/>
      <sheetName val="MV MCC Layout"/>
      <sheetName val="Elect Bulks"/>
      <sheetName val="Motor List"/>
      <sheetName val="MIS"/>
      <sheetName val="calc GTG1&amp;2"/>
      <sheetName val="calc STG1"/>
      <sheetName val="Elec_EQ_Design"/>
      <sheetName val="Elec_EQ_List"/>
      <sheetName val="GTG"/>
      <sheetName val="HRSG"/>
      <sheetName val="STG"/>
      <sheetName val="BOP"/>
      <sheetName val="Water"/>
      <sheetName val="Tables"/>
      <sheetName val="Mech_EQ_Design"/>
      <sheetName val="Mech_EQ_List"/>
      <sheetName val="PipingModule"/>
      <sheetName val="PipeQty"/>
      <sheetName val="Pipe"/>
      <sheetName val="PipeTable"/>
      <sheetName val="Paint"/>
      <sheetName val="Conc"/>
      <sheetName val="Steel"/>
      <sheetName val="SteelTable"/>
      <sheetName val="Insul"/>
      <sheetName val="InsulTable"/>
      <sheetName val="Engineering"/>
      <sheetName val="RATE Summary"/>
      <sheetName val="Power Crews-40"/>
      <sheetName val="Power Crews-50"/>
      <sheetName val="Power Crews-60"/>
      <sheetName val="Bldg"/>
      <sheetName val="Pipe Lookup"/>
      <sheetName val="BulkConfig"/>
      <sheetName val="Est Sum"/>
      <sheetName val="Fixed Variable"/>
      <sheetName val="EstBasis"/>
      <sheetName val="SC Indirects Build Up"/>
      <sheetName val="Cash flow curves"/>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refreshError="1"/>
      <sheetData sheetId="16" refreshError="1"/>
      <sheetData sheetId="17" refreshError="1"/>
      <sheetData sheetId="18">
        <row r="13">
          <cell r="GP13" t="str">
            <v>Centrifugal Compressor</v>
          </cell>
          <cell r="GQ13">
            <v>0</v>
          </cell>
          <cell r="GS13">
            <v>0</v>
          </cell>
          <cell r="GT13">
            <v>0</v>
          </cell>
          <cell r="GV13">
            <v>0</v>
          </cell>
          <cell r="GW13">
            <v>0</v>
          </cell>
          <cell r="GY13">
            <v>0</v>
          </cell>
          <cell r="GZ13">
            <v>0</v>
          </cell>
          <cell r="HB13">
            <v>0</v>
          </cell>
          <cell r="HC13">
            <v>0</v>
          </cell>
          <cell r="HE13">
            <v>0</v>
          </cell>
          <cell r="HF13">
            <v>0</v>
          </cell>
          <cell r="HH13">
            <v>0</v>
          </cell>
          <cell r="HI13">
            <v>0</v>
          </cell>
          <cell r="HK13">
            <v>0</v>
          </cell>
          <cell r="HL13">
            <v>0</v>
          </cell>
          <cell r="HN13">
            <v>0</v>
          </cell>
          <cell r="HO13">
            <v>0</v>
          </cell>
          <cell r="HQ13">
            <v>0</v>
          </cell>
          <cell r="HR13">
            <v>0</v>
          </cell>
          <cell r="HT13">
            <v>0</v>
          </cell>
          <cell r="HU13">
            <v>0</v>
          </cell>
          <cell r="HW13">
            <v>0</v>
          </cell>
          <cell r="HX13">
            <v>0</v>
          </cell>
          <cell r="HZ13">
            <v>0</v>
          </cell>
          <cell r="IA13">
            <v>0</v>
          </cell>
          <cell r="IC13">
            <v>0</v>
          </cell>
          <cell r="ID13">
            <v>0</v>
          </cell>
          <cell r="IF13">
            <v>0</v>
          </cell>
        </row>
        <row r="14">
          <cell r="GP14" t="str">
            <v>Reciprocating Compressor</v>
          </cell>
          <cell r="GQ14">
            <v>0</v>
          </cell>
          <cell r="GS14">
            <v>0</v>
          </cell>
          <cell r="GT14">
            <v>0</v>
          </cell>
          <cell r="GV14">
            <v>0</v>
          </cell>
          <cell r="GW14">
            <v>0</v>
          </cell>
          <cell r="GY14">
            <v>0</v>
          </cell>
          <cell r="GZ14">
            <v>0</v>
          </cell>
          <cell r="HB14">
            <v>0</v>
          </cell>
          <cell r="HC14">
            <v>0</v>
          </cell>
          <cell r="HE14">
            <v>0</v>
          </cell>
          <cell r="HF14">
            <v>0</v>
          </cell>
          <cell r="HH14">
            <v>0</v>
          </cell>
          <cell r="HI14">
            <v>0</v>
          </cell>
          <cell r="HK14">
            <v>0</v>
          </cell>
          <cell r="HL14">
            <v>0</v>
          </cell>
          <cell r="HN14">
            <v>0</v>
          </cell>
          <cell r="HO14">
            <v>0</v>
          </cell>
          <cell r="HQ14">
            <v>0</v>
          </cell>
          <cell r="HR14">
            <v>0</v>
          </cell>
          <cell r="HT14">
            <v>0</v>
          </cell>
          <cell r="HU14">
            <v>0</v>
          </cell>
          <cell r="HW14">
            <v>0</v>
          </cell>
          <cell r="HX14">
            <v>0</v>
          </cell>
          <cell r="HZ14">
            <v>0</v>
          </cell>
          <cell r="IA14">
            <v>0</v>
          </cell>
          <cell r="IC14">
            <v>0</v>
          </cell>
          <cell r="ID14">
            <v>0</v>
          </cell>
          <cell r="IF14">
            <v>0</v>
          </cell>
        </row>
        <row r="15">
          <cell r="GP15" t="str">
            <v>Fuel Gas Dew Point Heater, Electric</v>
          </cell>
          <cell r="GQ15">
            <v>200</v>
          </cell>
          <cell r="GS15">
            <v>200</v>
          </cell>
          <cell r="GT15">
            <v>200</v>
          </cell>
          <cell r="GV15">
            <v>200</v>
          </cell>
          <cell r="GW15">
            <v>200</v>
          </cell>
          <cell r="GY15">
            <v>200</v>
          </cell>
          <cell r="GZ15">
            <v>200</v>
          </cell>
          <cell r="HB15">
            <v>200</v>
          </cell>
          <cell r="HC15">
            <v>200</v>
          </cell>
          <cell r="HE15">
            <v>200</v>
          </cell>
          <cell r="HF15">
            <v>200</v>
          </cell>
          <cell r="HH15">
            <v>200</v>
          </cell>
          <cell r="HI15">
            <v>200</v>
          </cell>
          <cell r="HK15">
            <v>200</v>
          </cell>
          <cell r="HL15">
            <v>200</v>
          </cell>
          <cell r="HN15">
            <v>200</v>
          </cell>
          <cell r="HO15">
            <v>200</v>
          </cell>
          <cell r="HQ15">
            <v>200</v>
          </cell>
          <cell r="HR15">
            <v>200</v>
          </cell>
          <cell r="HT15">
            <v>200</v>
          </cell>
          <cell r="HU15">
            <v>200</v>
          </cell>
          <cell r="HW15">
            <v>200</v>
          </cell>
          <cell r="HX15">
            <v>200</v>
          </cell>
          <cell r="HZ15">
            <v>200</v>
          </cell>
          <cell r="IA15">
            <v>200</v>
          </cell>
          <cell r="IC15">
            <v>200</v>
          </cell>
          <cell r="ID15">
            <v>200</v>
          </cell>
          <cell r="IF15">
            <v>200</v>
          </cell>
        </row>
        <row r="16">
          <cell r="GP16" t="str">
            <v>Fuel Gas Dew Point Heater, gas-fired</v>
          </cell>
          <cell r="GQ16">
            <v>200</v>
          </cell>
          <cell r="GS16">
            <v>200</v>
          </cell>
          <cell r="GT16">
            <v>200</v>
          </cell>
          <cell r="GV16">
            <v>200</v>
          </cell>
          <cell r="GW16">
            <v>200</v>
          </cell>
          <cell r="GY16">
            <v>200</v>
          </cell>
          <cell r="GZ16">
            <v>200</v>
          </cell>
          <cell r="HB16">
            <v>200</v>
          </cell>
          <cell r="HC16">
            <v>200</v>
          </cell>
          <cell r="HE16">
            <v>200</v>
          </cell>
          <cell r="HF16">
            <v>200</v>
          </cell>
          <cell r="HH16">
            <v>200</v>
          </cell>
          <cell r="HI16">
            <v>200</v>
          </cell>
          <cell r="HK16">
            <v>200</v>
          </cell>
          <cell r="HL16">
            <v>200</v>
          </cell>
          <cell r="HN16">
            <v>200</v>
          </cell>
          <cell r="HO16">
            <v>200</v>
          </cell>
          <cell r="HQ16">
            <v>200</v>
          </cell>
          <cell r="HR16">
            <v>200</v>
          </cell>
          <cell r="HT16">
            <v>200</v>
          </cell>
          <cell r="HU16">
            <v>200</v>
          </cell>
          <cell r="HW16">
            <v>200</v>
          </cell>
          <cell r="HX16">
            <v>200</v>
          </cell>
          <cell r="HZ16">
            <v>200</v>
          </cell>
          <cell r="IA16">
            <v>200</v>
          </cell>
          <cell r="IC16">
            <v>200</v>
          </cell>
          <cell r="ID16">
            <v>200</v>
          </cell>
          <cell r="IF16">
            <v>200</v>
          </cell>
        </row>
        <row r="17">
          <cell r="GP17" t="str">
            <v>Performance Fuel Gas Heater, uses IP steam</v>
          </cell>
          <cell r="GQ17">
            <v>200</v>
          </cell>
          <cell r="GS17">
            <v>200</v>
          </cell>
          <cell r="GT17">
            <v>200</v>
          </cell>
          <cell r="GV17">
            <v>200</v>
          </cell>
          <cell r="GW17">
            <v>200</v>
          </cell>
          <cell r="GY17">
            <v>200</v>
          </cell>
          <cell r="GZ17">
            <v>200</v>
          </cell>
          <cell r="HB17">
            <v>200</v>
          </cell>
          <cell r="HC17">
            <v>200</v>
          </cell>
          <cell r="HE17">
            <v>200</v>
          </cell>
          <cell r="HF17">
            <v>200</v>
          </cell>
          <cell r="HH17">
            <v>200</v>
          </cell>
          <cell r="HI17">
            <v>200</v>
          </cell>
          <cell r="HK17">
            <v>200</v>
          </cell>
          <cell r="HL17">
            <v>200</v>
          </cell>
          <cell r="HN17">
            <v>200</v>
          </cell>
          <cell r="HO17">
            <v>200</v>
          </cell>
          <cell r="HQ17">
            <v>200</v>
          </cell>
          <cell r="HR17">
            <v>200</v>
          </cell>
          <cell r="HT17">
            <v>200</v>
          </cell>
          <cell r="HU17">
            <v>200</v>
          </cell>
          <cell r="HW17">
            <v>200</v>
          </cell>
          <cell r="HX17">
            <v>200</v>
          </cell>
          <cell r="HZ17">
            <v>200</v>
          </cell>
          <cell r="IA17">
            <v>200</v>
          </cell>
          <cell r="IC17">
            <v>200</v>
          </cell>
          <cell r="ID17">
            <v>200</v>
          </cell>
          <cell r="IF17">
            <v>200</v>
          </cell>
        </row>
        <row r="18">
          <cell r="GP18" t="str">
            <v>Performance Fuel Gas Heater, uses IP feedwater</v>
          </cell>
          <cell r="GQ18">
            <v>200</v>
          </cell>
          <cell r="GS18">
            <v>200</v>
          </cell>
          <cell r="GT18">
            <v>200</v>
          </cell>
          <cell r="GV18">
            <v>200</v>
          </cell>
          <cell r="GW18">
            <v>200</v>
          </cell>
          <cell r="GY18">
            <v>200</v>
          </cell>
          <cell r="GZ18">
            <v>200</v>
          </cell>
          <cell r="HB18">
            <v>200</v>
          </cell>
          <cell r="HC18">
            <v>200</v>
          </cell>
          <cell r="HE18">
            <v>200</v>
          </cell>
          <cell r="HF18">
            <v>200</v>
          </cell>
          <cell r="HH18">
            <v>200</v>
          </cell>
          <cell r="HI18">
            <v>200</v>
          </cell>
          <cell r="HK18">
            <v>200</v>
          </cell>
          <cell r="HL18">
            <v>200</v>
          </cell>
          <cell r="HN18">
            <v>200</v>
          </cell>
          <cell r="HO18">
            <v>200</v>
          </cell>
          <cell r="HQ18">
            <v>200</v>
          </cell>
          <cell r="HR18">
            <v>200</v>
          </cell>
          <cell r="HT18">
            <v>200</v>
          </cell>
          <cell r="HU18">
            <v>200</v>
          </cell>
          <cell r="HW18">
            <v>200</v>
          </cell>
          <cell r="HX18">
            <v>200</v>
          </cell>
          <cell r="HZ18">
            <v>200</v>
          </cell>
          <cell r="IA18">
            <v>200</v>
          </cell>
          <cell r="IC18">
            <v>200</v>
          </cell>
          <cell r="ID18">
            <v>200</v>
          </cell>
          <cell r="IF18">
            <v>200</v>
          </cell>
        </row>
        <row r="19">
          <cell r="GP19" t="str">
            <v>Fuel Gas Treatment Skid</v>
          </cell>
          <cell r="GQ19">
            <v>300</v>
          </cell>
          <cell r="GS19">
            <v>300</v>
          </cell>
          <cell r="GT19">
            <v>300</v>
          </cell>
          <cell r="GV19">
            <v>300</v>
          </cell>
          <cell r="GW19">
            <v>300</v>
          </cell>
          <cell r="GY19">
            <v>300</v>
          </cell>
          <cell r="GZ19">
            <v>300</v>
          </cell>
          <cell r="HB19">
            <v>300</v>
          </cell>
          <cell r="HC19">
            <v>300</v>
          </cell>
          <cell r="HE19">
            <v>300</v>
          </cell>
          <cell r="HF19">
            <v>300</v>
          </cell>
          <cell r="HH19">
            <v>300</v>
          </cell>
          <cell r="HI19">
            <v>300</v>
          </cell>
          <cell r="HK19">
            <v>300</v>
          </cell>
          <cell r="HL19">
            <v>300</v>
          </cell>
          <cell r="HN19">
            <v>300</v>
          </cell>
          <cell r="HO19">
            <v>300</v>
          </cell>
          <cell r="HQ19">
            <v>300</v>
          </cell>
          <cell r="HR19">
            <v>300</v>
          </cell>
          <cell r="HT19">
            <v>300</v>
          </cell>
          <cell r="HU19">
            <v>300</v>
          </cell>
          <cell r="HW19">
            <v>300</v>
          </cell>
          <cell r="HX19">
            <v>300</v>
          </cell>
          <cell r="HZ19">
            <v>300</v>
          </cell>
          <cell r="IA19">
            <v>300</v>
          </cell>
          <cell r="IC19">
            <v>300</v>
          </cell>
          <cell r="ID19">
            <v>300</v>
          </cell>
          <cell r="IF19">
            <v>300</v>
          </cell>
        </row>
        <row r="20">
          <cell r="GP20" t="str">
            <v>Fuel Gas Knockout Tank</v>
          </cell>
          <cell r="GQ20">
            <v>100</v>
          </cell>
          <cell r="GS20">
            <v>100</v>
          </cell>
          <cell r="GT20">
            <v>100</v>
          </cell>
          <cell r="GV20">
            <v>100</v>
          </cell>
          <cell r="GW20">
            <v>100</v>
          </cell>
          <cell r="GY20">
            <v>100</v>
          </cell>
          <cell r="GZ20">
            <v>100</v>
          </cell>
          <cell r="HB20">
            <v>100</v>
          </cell>
          <cell r="HC20">
            <v>100</v>
          </cell>
          <cell r="HE20">
            <v>100</v>
          </cell>
          <cell r="HF20">
            <v>100</v>
          </cell>
          <cell r="HH20">
            <v>100</v>
          </cell>
          <cell r="HI20">
            <v>100</v>
          </cell>
          <cell r="HK20">
            <v>100</v>
          </cell>
          <cell r="HL20">
            <v>100</v>
          </cell>
          <cell r="HN20">
            <v>100</v>
          </cell>
          <cell r="HO20">
            <v>100</v>
          </cell>
          <cell r="HQ20">
            <v>100</v>
          </cell>
          <cell r="HR20">
            <v>100</v>
          </cell>
          <cell r="HT20">
            <v>100</v>
          </cell>
          <cell r="HU20">
            <v>100</v>
          </cell>
          <cell r="HW20">
            <v>100</v>
          </cell>
          <cell r="HX20">
            <v>100</v>
          </cell>
          <cell r="HZ20">
            <v>100</v>
          </cell>
          <cell r="IA20">
            <v>100</v>
          </cell>
          <cell r="IC20">
            <v>100</v>
          </cell>
          <cell r="ID20">
            <v>100</v>
          </cell>
          <cell r="IF20">
            <v>100</v>
          </cell>
        </row>
        <row r="21">
          <cell r="GP21" t="str">
            <v>Fuel Oil Truck Unloading Arm</v>
          </cell>
          <cell r="GQ21">
            <v>100</v>
          </cell>
          <cell r="GS21">
            <v>100</v>
          </cell>
          <cell r="GT21">
            <v>100</v>
          </cell>
          <cell r="GV21">
            <v>100</v>
          </cell>
          <cell r="GW21">
            <v>100</v>
          </cell>
          <cell r="GY21">
            <v>100</v>
          </cell>
          <cell r="GZ21">
            <v>100</v>
          </cell>
          <cell r="HB21">
            <v>100</v>
          </cell>
          <cell r="HC21">
            <v>100</v>
          </cell>
          <cell r="HE21">
            <v>100</v>
          </cell>
          <cell r="HF21">
            <v>100</v>
          </cell>
          <cell r="HH21">
            <v>100</v>
          </cell>
          <cell r="HI21">
            <v>100</v>
          </cell>
          <cell r="HK21">
            <v>100</v>
          </cell>
          <cell r="HL21">
            <v>100</v>
          </cell>
          <cell r="HN21">
            <v>100</v>
          </cell>
          <cell r="HO21">
            <v>100</v>
          </cell>
          <cell r="HQ21">
            <v>100</v>
          </cell>
          <cell r="HR21">
            <v>100</v>
          </cell>
          <cell r="HT21">
            <v>100</v>
          </cell>
          <cell r="HU21">
            <v>100</v>
          </cell>
          <cell r="HW21">
            <v>100</v>
          </cell>
          <cell r="HX21">
            <v>100</v>
          </cell>
          <cell r="HZ21">
            <v>100</v>
          </cell>
          <cell r="IA21">
            <v>100</v>
          </cell>
          <cell r="IC21">
            <v>100</v>
          </cell>
          <cell r="ID21">
            <v>100</v>
          </cell>
          <cell r="IF21">
            <v>100</v>
          </cell>
        </row>
        <row r="22">
          <cell r="GP22" t="str">
            <v>Fuel Oil Filters</v>
          </cell>
          <cell r="GQ22">
            <v>100</v>
          </cell>
          <cell r="GS22">
            <v>100</v>
          </cell>
          <cell r="GT22">
            <v>100</v>
          </cell>
          <cell r="GV22">
            <v>100</v>
          </cell>
          <cell r="GW22">
            <v>100</v>
          </cell>
          <cell r="GY22">
            <v>100</v>
          </cell>
          <cell r="GZ22">
            <v>100</v>
          </cell>
          <cell r="HB22">
            <v>100</v>
          </cell>
          <cell r="HC22">
            <v>100</v>
          </cell>
          <cell r="HE22">
            <v>100</v>
          </cell>
          <cell r="HF22">
            <v>100</v>
          </cell>
          <cell r="HH22">
            <v>100</v>
          </cell>
          <cell r="HI22">
            <v>100</v>
          </cell>
          <cell r="HK22">
            <v>100</v>
          </cell>
          <cell r="HL22">
            <v>100</v>
          </cell>
          <cell r="HN22">
            <v>100</v>
          </cell>
          <cell r="HO22">
            <v>100</v>
          </cell>
          <cell r="HQ22">
            <v>100</v>
          </cell>
          <cell r="HR22">
            <v>100</v>
          </cell>
          <cell r="HT22">
            <v>100</v>
          </cell>
          <cell r="HU22">
            <v>100</v>
          </cell>
          <cell r="HW22">
            <v>100</v>
          </cell>
          <cell r="HX22">
            <v>100</v>
          </cell>
          <cell r="HZ22">
            <v>100</v>
          </cell>
          <cell r="IA22">
            <v>100</v>
          </cell>
          <cell r="IC22">
            <v>100</v>
          </cell>
          <cell r="ID22">
            <v>100</v>
          </cell>
          <cell r="IF22">
            <v>100</v>
          </cell>
        </row>
        <row r="23">
          <cell r="GP23" t="str">
            <v>Fuel Oil Meters</v>
          </cell>
          <cell r="GQ23">
            <v>100</v>
          </cell>
          <cell r="GS23">
            <v>100</v>
          </cell>
          <cell r="GT23">
            <v>100</v>
          </cell>
          <cell r="GV23">
            <v>100</v>
          </cell>
          <cell r="GW23">
            <v>100</v>
          </cell>
          <cell r="GY23">
            <v>100</v>
          </cell>
          <cell r="GZ23">
            <v>100</v>
          </cell>
          <cell r="HB23">
            <v>100</v>
          </cell>
          <cell r="HC23">
            <v>100</v>
          </cell>
          <cell r="HE23">
            <v>100</v>
          </cell>
          <cell r="HF23">
            <v>100</v>
          </cell>
          <cell r="HH23">
            <v>100</v>
          </cell>
          <cell r="HI23">
            <v>100</v>
          </cell>
          <cell r="HK23">
            <v>100</v>
          </cell>
          <cell r="HL23">
            <v>100</v>
          </cell>
          <cell r="HN23">
            <v>100</v>
          </cell>
          <cell r="HO23">
            <v>100</v>
          </cell>
          <cell r="HQ23">
            <v>100</v>
          </cell>
          <cell r="HR23">
            <v>100</v>
          </cell>
          <cell r="HT23">
            <v>100</v>
          </cell>
          <cell r="HU23">
            <v>100</v>
          </cell>
          <cell r="HW23">
            <v>100</v>
          </cell>
          <cell r="HX23">
            <v>100</v>
          </cell>
          <cell r="HZ23">
            <v>100</v>
          </cell>
          <cell r="IA23">
            <v>100</v>
          </cell>
          <cell r="IC23">
            <v>100</v>
          </cell>
          <cell r="ID23">
            <v>100</v>
          </cell>
          <cell r="IF23">
            <v>100</v>
          </cell>
        </row>
        <row r="24">
          <cell r="GP24" t="str">
            <v>Fuel Oil Heaters</v>
          </cell>
          <cell r="GQ24">
            <v>100</v>
          </cell>
          <cell r="GS24">
            <v>100</v>
          </cell>
          <cell r="GT24">
            <v>100</v>
          </cell>
          <cell r="GV24">
            <v>100</v>
          </cell>
          <cell r="GW24">
            <v>100</v>
          </cell>
          <cell r="GY24">
            <v>100</v>
          </cell>
          <cell r="GZ24">
            <v>100</v>
          </cell>
          <cell r="HB24">
            <v>100</v>
          </cell>
          <cell r="HC24">
            <v>100</v>
          </cell>
          <cell r="HE24">
            <v>100</v>
          </cell>
          <cell r="HF24">
            <v>100</v>
          </cell>
          <cell r="HH24">
            <v>100</v>
          </cell>
          <cell r="HI24">
            <v>100</v>
          </cell>
          <cell r="HK24">
            <v>100</v>
          </cell>
          <cell r="HL24">
            <v>100</v>
          </cell>
          <cell r="HN24">
            <v>100</v>
          </cell>
          <cell r="HO24">
            <v>100</v>
          </cell>
          <cell r="HQ24">
            <v>100</v>
          </cell>
          <cell r="HR24">
            <v>100</v>
          </cell>
          <cell r="HT24">
            <v>100</v>
          </cell>
          <cell r="HU24">
            <v>100</v>
          </cell>
          <cell r="HW24">
            <v>100</v>
          </cell>
          <cell r="HX24">
            <v>100</v>
          </cell>
          <cell r="HZ24">
            <v>100</v>
          </cell>
          <cell r="IA24">
            <v>100</v>
          </cell>
          <cell r="IC24">
            <v>100</v>
          </cell>
          <cell r="ID24">
            <v>100</v>
          </cell>
          <cell r="IF24">
            <v>100</v>
          </cell>
        </row>
        <row r="25">
          <cell r="GP25" t="str">
            <v>GE 7241FA.05</v>
          </cell>
          <cell r="GQ25">
            <v>200000</v>
          </cell>
          <cell r="GS25">
            <v>200000</v>
          </cell>
          <cell r="GT25">
            <v>200000</v>
          </cell>
          <cell r="GV25">
            <v>200000</v>
          </cell>
          <cell r="GW25">
            <v>100000</v>
          </cell>
          <cell r="GY25">
            <v>100000</v>
          </cell>
          <cell r="GZ25">
            <v>62500</v>
          </cell>
          <cell r="HB25">
            <v>62500</v>
          </cell>
          <cell r="HC25">
            <v>422500</v>
          </cell>
          <cell r="HE25">
            <v>422500</v>
          </cell>
          <cell r="HH25">
            <v>0</v>
          </cell>
          <cell r="HK25">
            <v>0</v>
          </cell>
          <cell r="HN25">
            <v>0</v>
          </cell>
          <cell r="HQ25">
            <v>0</v>
          </cell>
          <cell r="HR25">
            <v>200000</v>
          </cell>
          <cell r="HT25">
            <v>200000</v>
          </cell>
          <cell r="HW25">
            <v>0</v>
          </cell>
          <cell r="HZ25">
            <v>0</v>
          </cell>
          <cell r="IC25">
            <v>0</v>
          </cell>
          <cell r="ID25">
            <v>100000</v>
          </cell>
          <cell r="IF25">
            <v>100000</v>
          </cell>
        </row>
        <row r="26">
          <cell r="GP26" t="str">
            <v>Once-thru Steam Generator</v>
          </cell>
          <cell r="GQ26">
            <v>25000</v>
          </cell>
          <cell r="GS26">
            <v>25000</v>
          </cell>
          <cell r="GT26">
            <v>25000</v>
          </cell>
          <cell r="GV26">
            <v>25000</v>
          </cell>
          <cell r="GW26">
            <v>25000</v>
          </cell>
          <cell r="GY26">
            <v>25000</v>
          </cell>
          <cell r="GZ26">
            <v>25000</v>
          </cell>
          <cell r="HB26">
            <v>25000</v>
          </cell>
          <cell r="HC26">
            <v>25000</v>
          </cell>
          <cell r="HE26">
            <v>25000</v>
          </cell>
          <cell r="HF26">
            <v>25000</v>
          </cell>
          <cell r="HH26">
            <v>25000</v>
          </cell>
          <cell r="HI26">
            <v>25000</v>
          </cell>
          <cell r="HK26">
            <v>25000</v>
          </cell>
          <cell r="HL26">
            <v>25000</v>
          </cell>
          <cell r="HN26">
            <v>25000</v>
          </cell>
          <cell r="HO26">
            <v>25000</v>
          </cell>
          <cell r="HQ26">
            <v>25000</v>
          </cell>
          <cell r="HR26">
            <v>25000</v>
          </cell>
          <cell r="HT26">
            <v>25000</v>
          </cell>
          <cell r="HU26">
            <v>25000</v>
          </cell>
          <cell r="HW26">
            <v>25000</v>
          </cell>
          <cell r="HX26">
            <v>25000</v>
          </cell>
          <cell r="HZ26">
            <v>25000</v>
          </cell>
          <cell r="IA26">
            <v>25000</v>
          </cell>
          <cell r="IC26">
            <v>25000</v>
          </cell>
          <cell r="ID26">
            <v>25000</v>
          </cell>
          <cell r="IF26">
            <v>25000</v>
          </cell>
        </row>
        <row r="27">
          <cell r="GP27" t="str">
            <v>1 Pressure HRSG</v>
          </cell>
          <cell r="GQ27">
            <v>25000</v>
          </cell>
          <cell r="GS27">
            <v>25000</v>
          </cell>
          <cell r="GT27">
            <v>25000</v>
          </cell>
          <cell r="GV27">
            <v>25000</v>
          </cell>
          <cell r="GW27">
            <v>25000</v>
          </cell>
          <cell r="GY27">
            <v>25000</v>
          </cell>
          <cell r="GZ27">
            <v>25000</v>
          </cell>
          <cell r="HB27">
            <v>25000</v>
          </cell>
          <cell r="HC27">
            <v>25000</v>
          </cell>
          <cell r="HE27">
            <v>25000</v>
          </cell>
          <cell r="HF27">
            <v>25000</v>
          </cell>
          <cell r="HH27">
            <v>25000</v>
          </cell>
          <cell r="HI27">
            <v>25000</v>
          </cell>
          <cell r="HK27">
            <v>25000</v>
          </cell>
          <cell r="HL27">
            <v>25000</v>
          </cell>
          <cell r="HN27">
            <v>25000</v>
          </cell>
          <cell r="HO27">
            <v>25000</v>
          </cell>
          <cell r="HQ27">
            <v>25000</v>
          </cell>
          <cell r="HR27">
            <v>25000</v>
          </cell>
          <cell r="HT27">
            <v>25000</v>
          </cell>
          <cell r="HU27">
            <v>25000</v>
          </cell>
          <cell r="HW27">
            <v>25000</v>
          </cell>
          <cell r="HX27">
            <v>25000</v>
          </cell>
          <cell r="HZ27">
            <v>25000</v>
          </cell>
          <cell r="IA27">
            <v>25000</v>
          </cell>
          <cell r="IC27">
            <v>25000</v>
          </cell>
          <cell r="ID27">
            <v>25000</v>
          </cell>
          <cell r="IF27">
            <v>25000</v>
          </cell>
        </row>
        <row r="28">
          <cell r="GP28" t="str">
            <v>2 Pressure HRSG</v>
          </cell>
          <cell r="GQ28">
            <v>25000</v>
          </cell>
          <cell r="GS28">
            <v>25000</v>
          </cell>
          <cell r="GT28">
            <v>25000</v>
          </cell>
          <cell r="GV28">
            <v>25000</v>
          </cell>
          <cell r="GW28">
            <v>25000</v>
          </cell>
          <cell r="GY28">
            <v>25000</v>
          </cell>
          <cell r="GZ28">
            <v>25000</v>
          </cell>
          <cell r="HB28">
            <v>25000</v>
          </cell>
          <cell r="HC28">
            <v>25000</v>
          </cell>
          <cell r="HE28">
            <v>25000</v>
          </cell>
          <cell r="HF28">
            <v>25000</v>
          </cell>
          <cell r="HH28">
            <v>25000</v>
          </cell>
          <cell r="HI28">
            <v>25000</v>
          </cell>
          <cell r="HK28">
            <v>25000</v>
          </cell>
          <cell r="HL28">
            <v>25000</v>
          </cell>
          <cell r="HN28">
            <v>25000</v>
          </cell>
          <cell r="HO28">
            <v>25000</v>
          </cell>
          <cell r="HQ28">
            <v>25000</v>
          </cell>
          <cell r="HR28">
            <v>25000</v>
          </cell>
          <cell r="HT28">
            <v>25000</v>
          </cell>
          <cell r="HU28">
            <v>25000</v>
          </cell>
          <cell r="HW28">
            <v>25000</v>
          </cell>
          <cell r="HX28">
            <v>25000</v>
          </cell>
          <cell r="HZ28">
            <v>25000</v>
          </cell>
          <cell r="IA28">
            <v>25000</v>
          </cell>
          <cell r="IC28">
            <v>25000</v>
          </cell>
          <cell r="ID28">
            <v>25000</v>
          </cell>
          <cell r="IF28">
            <v>25000</v>
          </cell>
        </row>
        <row r="29">
          <cell r="GP29" t="str">
            <v>3 Pressure HRSG</v>
          </cell>
          <cell r="GQ29">
            <v>25000</v>
          </cell>
          <cell r="GS29">
            <v>25000</v>
          </cell>
          <cell r="GT29">
            <v>25000</v>
          </cell>
          <cell r="GV29">
            <v>25000</v>
          </cell>
          <cell r="GW29">
            <v>25000</v>
          </cell>
          <cell r="GY29">
            <v>25000</v>
          </cell>
          <cell r="GZ29">
            <v>25000</v>
          </cell>
          <cell r="HB29">
            <v>25000</v>
          </cell>
          <cell r="HC29">
            <v>25000</v>
          </cell>
          <cell r="HE29">
            <v>25000</v>
          </cell>
          <cell r="HF29">
            <v>25000</v>
          </cell>
          <cell r="HH29">
            <v>25000</v>
          </cell>
          <cell r="HI29">
            <v>25000</v>
          </cell>
          <cell r="HK29">
            <v>25000</v>
          </cell>
          <cell r="HL29">
            <v>25000</v>
          </cell>
          <cell r="HN29">
            <v>25000</v>
          </cell>
          <cell r="HO29">
            <v>25000</v>
          </cell>
          <cell r="HQ29">
            <v>25000</v>
          </cell>
          <cell r="HR29">
            <v>25000</v>
          </cell>
          <cell r="HT29">
            <v>25000</v>
          </cell>
          <cell r="HU29">
            <v>25000</v>
          </cell>
          <cell r="HW29">
            <v>25000</v>
          </cell>
          <cell r="HX29">
            <v>25000</v>
          </cell>
          <cell r="HZ29">
            <v>25000</v>
          </cell>
          <cell r="IA29">
            <v>25000</v>
          </cell>
          <cell r="IC29">
            <v>25000</v>
          </cell>
          <cell r="ID29">
            <v>25000</v>
          </cell>
          <cell r="IF29">
            <v>25000</v>
          </cell>
        </row>
        <row r="30">
          <cell r="GP30" t="str">
            <v>3 Pressure, with Reheat HRSG</v>
          </cell>
          <cell r="GQ30">
            <v>25000</v>
          </cell>
          <cell r="GS30">
            <v>25000</v>
          </cell>
          <cell r="GT30">
            <v>25000</v>
          </cell>
          <cell r="GV30">
            <v>25000</v>
          </cell>
          <cell r="GW30">
            <v>25000</v>
          </cell>
          <cell r="GY30">
            <v>25000</v>
          </cell>
          <cell r="GZ30">
            <v>25000</v>
          </cell>
          <cell r="HB30">
            <v>25000</v>
          </cell>
          <cell r="HC30">
            <v>25000</v>
          </cell>
          <cell r="HE30">
            <v>25000</v>
          </cell>
          <cell r="HF30">
            <v>25000</v>
          </cell>
          <cell r="HH30">
            <v>25000</v>
          </cell>
          <cell r="HI30">
            <v>25000</v>
          </cell>
          <cell r="HK30">
            <v>25000</v>
          </cell>
          <cell r="HL30">
            <v>25000</v>
          </cell>
          <cell r="HN30">
            <v>25000</v>
          </cell>
          <cell r="HO30">
            <v>25000</v>
          </cell>
          <cell r="HQ30">
            <v>25000</v>
          </cell>
          <cell r="HR30">
            <v>25000</v>
          </cell>
          <cell r="HT30">
            <v>25000</v>
          </cell>
          <cell r="HU30">
            <v>25000</v>
          </cell>
          <cell r="HW30">
            <v>25000</v>
          </cell>
          <cell r="HX30">
            <v>25000</v>
          </cell>
          <cell r="HZ30">
            <v>25000</v>
          </cell>
          <cell r="IA30">
            <v>25000</v>
          </cell>
          <cell r="IC30">
            <v>25000</v>
          </cell>
          <cell r="ID30">
            <v>25000</v>
          </cell>
          <cell r="IF30">
            <v>25000</v>
          </cell>
        </row>
        <row r="31">
          <cell r="GP31" t="str">
            <v>Duct Burners</v>
          </cell>
          <cell r="GS31">
            <v>0</v>
          </cell>
          <cell r="GV31">
            <v>0</v>
          </cell>
          <cell r="GY31">
            <v>0</v>
          </cell>
          <cell r="HB31">
            <v>0</v>
          </cell>
          <cell r="HE31">
            <v>0</v>
          </cell>
          <cell r="HH31">
            <v>0</v>
          </cell>
          <cell r="HK31">
            <v>0</v>
          </cell>
          <cell r="HN31">
            <v>0</v>
          </cell>
          <cell r="HQ31">
            <v>0</v>
          </cell>
          <cell r="HT31">
            <v>0</v>
          </cell>
          <cell r="HW31">
            <v>0</v>
          </cell>
          <cell r="HZ31">
            <v>0</v>
          </cell>
          <cell r="IC31">
            <v>0</v>
          </cell>
          <cell r="IF31">
            <v>0</v>
          </cell>
        </row>
        <row r="32">
          <cell r="GP32" t="str">
            <v>SCR's</v>
          </cell>
          <cell r="GS32">
            <v>0</v>
          </cell>
          <cell r="GV32">
            <v>0</v>
          </cell>
          <cell r="GY32">
            <v>0</v>
          </cell>
          <cell r="HB32">
            <v>0</v>
          </cell>
          <cell r="HE32">
            <v>0</v>
          </cell>
          <cell r="HH32">
            <v>0</v>
          </cell>
          <cell r="HK32">
            <v>0</v>
          </cell>
          <cell r="HN32">
            <v>0</v>
          </cell>
          <cell r="HQ32">
            <v>0</v>
          </cell>
          <cell r="HT32">
            <v>0</v>
          </cell>
          <cell r="HW32">
            <v>0</v>
          </cell>
          <cell r="HZ32">
            <v>0</v>
          </cell>
          <cell r="IC32">
            <v>0</v>
          </cell>
          <cell r="IF32">
            <v>0</v>
          </cell>
        </row>
        <row r="33">
          <cell r="GP33" t="str">
            <v>CO Reactors</v>
          </cell>
          <cell r="GS33">
            <v>0</v>
          </cell>
          <cell r="GV33">
            <v>0</v>
          </cell>
          <cell r="GY33">
            <v>0</v>
          </cell>
          <cell r="HB33">
            <v>0</v>
          </cell>
          <cell r="HE33">
            <v>0</v>
          </cell>
          <cell r="HH33">
            <v>0</v>
          </cell>
          <cell r="HK33">
            <v>0</v>
          </cell>
          <cell r="HN33">
            <v>0</v>
          </cell>
          <cell r="HQ33">
            <v>0</v>
          </cell>
          <cell r="HT33">
            <v>0</v>
          </cell>
          <cell r="HW33">
            <v>0</v>
          </cell>
          <cell r="HZ33">
            <v>0</v>
          </cell>
          <cell r="IC33">
            <v>0</v>
          </cell>
          <cell r="IF33">
            <v>0</v>
          </cell>
        </row>
        <row r="34">
          <cell r="GP34" t="str">
            <v>Bypass Stacks</v>
          </cell>
          <cell r="GS34">
            <v>0</v>
          </cell>
          <cell r="GV34">
            <v>0</v>
          </cell>
          <cell r="GY34">
            <v>0</v>
          </cell>
          <cell r="HB34">
            <v>0</v>
          </cell>
          <cell r="HE34">
            <v>0</v>
          </cell>
          <cell r="HH34">
            <v>0</v>
          </cell>
          <cell r="HK34">
            <v>0</v>
          </cell>
          <cell r="HN34">
            <v>0</v>
          </cell>
          <cell r="HQ34">
            <v>0</v>
          </cell>
          <cell r="HT34">
            <v>0</v>
          </cell>
          <cell r="HW34">
            <v>0</v>
          </cell>
          <cell r="HZ34">
            <v>0</v>
          </cell>
          <cell r="IC34">
            <v>0</v>
          </cell>
          <cell r="IF34">
            <v>0</v>
          </cell>
        </row>
        <row r="35">
          <cell r="GP35" t="str">
            <v>Stack Dampers</v>
          </cell>
          <cell r="GS35">
            <v>0</v>
          </cell>
          <cell r="GV35">
            <v>0</v>
          </cell>
          <cell r="GY35">
            <v>0</v>
          </cell>
          <cell r="HB35">
            <v>0</v>
          </cell>
          <cell r="HE35">
            <v>0</v>
          </cell>
          <cell r="HH35">
            <v>0</v>
          </cell>
          <cell r="HK35">
            <v>0</v>
          </cell>
          <cell r="HN35">
            <v>0</v>
          </cell>
          <cell r="HQ35">
            <v>0</v>
          </cell>
          <cell r="HT35">
            <v>0</v>
          </cell>
          <cell r="HW35">
            <v>0</v>
          </cell>
          <cell r="HZ35">
            <v>0</v>
          </cell>
          <cell r="IC35">
            <v>0</v>
          </cell>
          <cell r="IF35">
            <v>0</v>
          </cell>
        </row>
        <row r="36">
          <cell r="GP36" t="str">
            <v>Simple Cycle Stacks</v>
          </cell>
          <cell r="GQ36">
            <v>10000</v>
          </cell>
          <cell r="GR36">
            <v>20000</v>
          </cell>
          <cell r="GS36">
            <v>20000</v>
          </cell>
          <cell r="GT36">
            <v>10000</v>
          </cell>
          <cell r="GV36">
            <v>10000</v>
          </cell>
          <cell r="GW36">
            <v>10000</v>
          </cell>
          <cell r="GX36">
            <v>8000</v>
          </cell>
          <cell r="GY36">
            <v>8000</v>
          </cell>
          <cell r="GZ36">
            <v>10000</v>
          </cell>
          <cell r="HB36">
            <v>10000</v>
          </cell>
          <cell r="HC36">
            <v>10000</v>
          </cell>
          <cell r="HD36">
            <v>20000</v>
          </cell>
          <cell r="HE36">
            <v>20000</v>
          </cell>
          <cell r="HF36">
            <v>10000</v>
          </cell>
          <cell r="HH36">
            <v>10000</v>
          </cell>
          <cell r="HI36">
            <v>10000</v>
          </cell>
          <cell r="HK36">
            <v>10000</v>
          </cell>
          <cell r="HL36">
            <v>10000</v>
          </cell>
          <cell r="HN36">
            <v>10000</v>
          </cell>
          <cell r="HO36">
            <v>10000</v>
          </cell>
          <cell r="HQ36">
            <v>10000</v>
          </cell>
          <cell r="HR36">
            <v>10000</v>
          </cell>
          <cell r="HS36">
            <v>20000</v>
          </cell>
          <cell r="HT36">
            <v>20000</v>
          </cell>
          <cell r="HU36">
            <v>10000</v>
          </cell>
          <cell r="HW36">
            <v>10000</v>
          </cell>
          <cell r="HX36">
            <v>10000</v>
          </cell>
          <cell r="HZ36">
            <v>10000</v>
          </cell>
          <cell r="IA36">
            <v>10000</v>
          </cell>
          <cell r="IC36">
            <v>10000</v>
          </cell>
          <cell r="ID36">
            <v>10000</v>
          </cell>
          <cell r="IE36">
            <v>8000</v>
          </cell>
          <cell r="IF36">
            <v>8000</v>
          </cell>
        </row>
        <row r="37">
          <cell r="GP37" t="str">
            <v>Hot SCRs</v>
          </cell>
          <cell r="GQ37">
            <v>15000</v>
          </cell>
          <cell r="GS37">
            <v>15000</v>
          </cell>
          <cell r="GT37">
            <v>15000</v>
          </cell>
          <cell r="GV37">
            <v>15000</v>
          </cell>
          <cell r="GW37">
            <v>15000</v>
          </cell>
          <cell r="GX37">
            <v>8000</v>
          </cell>
          <cell r="GY37">
            <v>8000</v>
          </cell>
          <cell r="GZ37">
            <v>15000</v>
          </cell>
          <cell r="HB37">
            <v>15000</v>
          </cell>
          <cell r="HC37">
            <v>15000</v>
          </cell>
          <cell r="HE37">
            <v>15000</v>
          </cell>
          <cell r="HF37">
            <v>15000</v>
          </cell>
          <cell r="HH37">
            <v>15000</v>
          </cell>
          <cell r="HI37">
            <v>15000</v>
          </cell>
          <cell r="HK37">
            <v>15000</v>
          </cell>
          <cell r="HL37">
            <v>15000</v>
          </cell>
          <cell r="HM37">
            <v>35000</v>
          </cell>
          <cell r="HN37">
            <v>35000</v>
          </cell>
          <cell r="HO37">
            <v>15000</v>
          </cell>
          <cell r="HP37">
            <v>40000</v>
          </cell>
          <cell r="HQ37">
            <v>40000</v>
          </cell>
          <cell r="HR37">
            <v>15000</v>
          </cell>
          <cell r="HT37">
            <v>15000</v>
          </cell>
          <cell r="HU37">
            <v>15000</v>
          </cell>
          <cell r="HV37">
            <v>35000</v>
          </cell>
          <cell r="HW37">
            <v>35000</v>
          </cell>
          <cell r="HX37">
            <v>15000</v>
          </cell>
          <cell r="HZ37">
            <v>15000</v>
          </cell>
          <cell r="IA37">
            <v>15000</v>
          </cell>
          <cell r="IB37">
            <v>35000</v>
          </cell>
          <cell r="IC37">
            <v>35000</v>
          </cell>
          <cell r="ID37">
            <v>15000</v>
          </cell>
          <cell r="IE37">
            <v>8000</v>
          </cell>
          <cell r="IF37">
            <v>8000</v>
          </cell>
        </row>
        <row r="38">
          <cell r="GP38" t="str">
            <v>Four Case, Four Flow</v>
          </cell>
          <cell r="GS38">
            <v>0</v>
          </cell>
          <cell r="GV38">
            <v>0</v>
          </cell>
          <cell r="GY38">
            <v>0</v>
          </cell>
          <cell r="HB38">
            <v>0</v>
          </cell>
          <cell r="HE38">
            <v>0</v>
          </cell>
          <cell r="HH38">
            <v>0</v>
          </cell>
          <cell r="HK38">
            <v>0</v>
          </cell>
          <cell r="HN38">
            <v>0</v>
          </cell>
          <cell r="HQ38">
            <v>0</v>
          </cell>
          <cell r="HT38">
            <v>0</v>
          </cell>
          <cell r="HW38">
            <v>0</v>
          </cell>
          <cell r="HZ38">
            <v>0</v>
          </cell>
          <cell r="IC38">
            <v>0</v>
          </cell>
          <cell r="IF38">
            <v>0</v>
          </cell>
        </row>
        <row r="39">
          <cell r="GP39" t="str">
            <v>GE - A Series</v>
          </cell>
          <cell r="GR39">
            <v>170000</v>
          </cell>
          <cell r="GS39">
            <v>170000</v>
          </cell>
          <cell r="GU39">
            <v>170000</v>
          </cell>
          <cell r="GV39">
            <v>170000</v>
          </cell>
          <cell r="GX39">
            <v>170000</v>
          </cell>
          <cell r="GY39">
            <v>170000</v>
          </cell>
          <cell r="HA39">
            <v>170000</v>
          </cell>
          <cell r="HB39">
            <v>170000</v>
          </cell>
          <cell r="HD39">
            <v>170000</v>
          </cell>
          <cell r="HE39">
            <v>170000</v>
          </cell>
          <cell r="HG39">
            <v>170000</v>
          </cell>
          <cell r="HH39">
            <v>170000</v>
          </cell>
          <cell r="HJ39">
            <v>170000</v>
          </cell>
          <cell r="HK39">
            <v>170000</v>
          </cell>
          <cell r="HM39">
            <v>170000</v>
          </cell>
          <cell r="HN39">
            <v>170000</v>
          </cell>
          <cell r="HP39">
            <v>170000</v>
          </cell>
          <cell r="HQ39">
            <v>170000</v>
          </cell>
          <cell r="HS39">
            <v>170000</v>
          </cell>
          <cell r="HT39">
            <v>170000</v>
          </cell>
          <cell r="HV39">
            <v>170000</v>
          </cell>
          <cell r="HW39">
            <v>170000</v>
          </cell>
          <cell r="HY39">
            <v>170000</v>
          </cell>
          <cell r="HZ39">
            <v>170000</v>
          </cell>
          <cell r="IB39">
            <v>170000</v>
          </cell>
          <cell r="IC39">
            <v>170000</v>
          </cell>
          <cell r="IE39">
            <v>170000</v>
          </cell>
          <cell r="IF39">
            <v>170000</v>
          </cell>
        </row>
        <row r="40">
          <cell r="GP40" t="str">
            <v>GE - D Series</v>
          </cell>
          <cell r="GR40">
            <v>285000</v>
          </cell>
          <cell r="GS40">
            <v>285000</v>
          </cell>
          <cell r="GU40">
            <v>285000</v>
          </cell>
          <cell r="GV40">
            <v>285000</v>
          </cell>
          <cell r="GX40">
            <v>285000</v>
          </cell>
          <cell r="GY40">
            <v>285000</v>
          </cell>
          <cell r="HA40">
            <v>285000</v>
          </cell>
          <cell r="HB40">
            <v>285000</v>
          </cell>
          <cell r="HD40">
            <v>285000</v>
          </cell>
          <cell r="HE40">
            <v>285000</v>
          </cell>
          <cell r="HG40">
            <v>285000</v>
          </cell>
          <cell r="HH40">
            <v>285000</v>
          </cell>
          <cell r="HJ40">
            <v>285000</v>
          </cell>
          <cell r="HK40">
            <v>285000</v>
          </cell>
          <cell r="HM40">
            <v>285000</v>
          </cell>
          <cell r="HN40">
            <v>285000</v>
          </cell>
          <cell r="HP40">
            <v>285000</v>
          </cell>
          <cell r="HQ40">
            <v>285000</v>
          </cell>
          <cell r="HS40">
            <v>285000</v>
          </cell>
          <cell r="HT40">
            <v>285000</v>
          </cell>
          <cell r="HV40">
            <v>285000</v>
          </cell>
          <cell r="HW40">
            <v>285000</v>
          </cell>
          <cell r="HY40">
            <v>285000</v>
          </cell>
          <cell r="HZ40">
            <v>285000</v>
          </cell>
          <cell r="IB40">
            <v>285000</v>
          </cell>
          <cell r="IC40">
            <v>285000</v>
          </cell>
          <cell r="IE40">
            <v>285000</v>
          </cell>
          <cell r="IF40">
            <v>285000</v>
          </cell>
        </row>
        <row r="41">
          <cell r="GP41" t="str">
            <v>GE - G Series</v>
          </cell>
          <cell r="GR41">
            <v>325000</v>
          </cell>
          <cell r="GS41">
            <v>325000</v>
          </cell>
          <cell r="GU41">
            <v>325000</v>
          </cell>
          <cell r="GV41">
            <v>325000</v>
          </cell>
          <cell r="GX41">
            <v>325000</v>
          </cell>
          <cell r="GY41">
            <v>325000</v>
          </cell>
          <cell r="HA41">
            <v>325000</v>
          </cell>
          <cell r="HB41">
            <v>325000</v>
          </cell>
          <cell r="HD41">
            <v>325000</v>
          </cell>
          <cell r="HE41">
            <v>325000</v>
          </cell>
          <cell r="HG41">
            <v>325000</v>
          </cell>
          <cell r="HH41">
            <v>325000</v>
          </cell>
          <cell r="HJ41">
            <v>325000</v>
          </cell>
          <cell r="HK41">
            <v>325000</v>
          </cell>
          <cell r="HM41">
            <v>325000</v>
          </cell>
          <cell r="HN41">
            <v>325000</v>
          </cell>
          <cell r="HP41">
            <v>325000</v>
          </cell>
          <cell r="HQ41">
            <v>325000</v>
          </cell>
          <cell r="HS41">
            <v>325000</v>
          </cell>
          <cell r="HT41">
            <v>325000</v>
          </cell>
          <cell r="HV41">
            <v>325000</v>
          </cell>
          <cell r="HW41">
            <v>325000</v>
          </cell>
          <cell r="HY41">
            <v>325000</v>
          </cell>
          <cell r="HZ41">
            <v>325000</v>
          </cell>
          <cell r="IB41">
            <v>325000</v>
          </cell>
          <cell r="IC41">
            <v>325000</v>
          </cell>
          <cell r="IE41">
            <v>325000</v>
          </cell>
          <cell r="IF41">
            <v>325000</v>
          </cell>
        </row>
        <row r="42">
          <cell r="GP42" t="str">
            <v>Siemens SST-3000</v>
          </cell>
          <cell r="GS42">
            <v>0</v>
          </cell>
          <cell r="GV42">
            <v>0</v>
          </cell>
          <cell r="GY42">
            <v>0</v>
          </cell>
          <cell r="HB42">
            <v>0</v>
          </cell>
          <cell r="HE42">
            <v>0</v>
          </cell>
          <cell r="HH42">
            <v>0</v>
          </cell>
          <cell r="HK42">
            <v>0</v>
          </cell>
          <cell r="HN42">
            <v>0</v>
          </cell>
          <cell r="HQ42">
            <v>0</v>
          </cell>
          <cell r="HT42">
            <v>0</v>
          </cell>
          <cell r="HW42">
            <v>0</v>
          </cell>
          <cell r="HZ42">
            <v>0</v>
          </cell>
          <cell r="IC42">
            <v>0</v>
          </cell>
          <cell r="IF42">
            <v>0</v>
          </cell>
        </row>
        <row r="43">
          <cell r="GP43" t="str">
            <v>Siemens SST-5000</v>
          </cell>
          <cell r="GS43">
            <v>0</v>
          </cell>
          <cell r="GV43">
            <v>0</v>
          </cell>
          <cell r="GY43">
            <v>0</v>
          </cell>
          <cell r="HB43">
            <v>0</v>
          </cell>
          <cell r="HE43">
            <v>0</v>
          </cell>
          <cell r="HH43">
            <v>0</v>
          </cell>
          <cell r="HK43">
            <v>0</v>
          </cell>
          <cell r="HN43">
            <v>0</v>
          </cell>
          <cell r="HQ43">
            <v>0</v>
          </cell>
          <cell r="HT43">
            <v>0</v>
          </cell>
          <cell r="HW43">
            <v>0</v>
          </cell>
          <cell r="HZ43">
            <v>0</v>
          </cell>
          <cell r="IC43">
            <v>0</v>
          </cell>
          <cell r="IF43">
            <v>0</v>
          </cell>
        </row>
        <row r="44">
          <cell r="GP44" t="str">
            <v>Siemens SST-6000</v>
          </cell>
          <cell r="GS44">
            <v>0</v>
          </cell>
          <cell r="GV44">
            <v>0</v>
          </cell>
          <cell r="GY44">
            <v>0</v>
          </cell>
          <cell r="HB44">
            <v>0</v>
          </cell>
          <cell r="HE44">
            <v>0</v>
          </cell>
          <cell r="HH44">
            <v>0</v>
          </cell>
          <cell r="HK44">
            <v>0</v>
          </cell>
          <cell r="HN44">
            <v>0</v>
          </cell>
          <cell r="HQ44">
            <v>0</v>
          </cell>
          <cell r="HT44">
            <v>0</v>
          </cell>
          <cell r="HW44">
            <v>0</v>
          </cell>
          <cell r="HZ44">
            <v>0</v>
          </cell>
          <cell r="IC44">
            <v>0</v>
          </cell>
          <cell r="IF44">
            <v>0</v>
          </cell>
        </row>
        <row r="45">
          <cell r="GP45" t="str">
            <v>Siemens SST-900</v>
          </cell>
          <cell r="GS45">
            <v>0</v>
          </cell>
          <cell r="GV45">
            <v>0</v>
          </cell>
          <cell r="GY45">
            <v>0</v>
          </cell>
          <cell r="HB45">
            <v>0</v>
          </cell>
          <cell r="HE45">
            <v>0</v>
          </cell>
          <cell r="HH45">
            <v>0</v>
          </cell>
          <cell r="HK45">
            <v>0</v>
          </cell>
          <cell r="HN45">
            <v>0</v>
          </cell>
          <cell r="HQ45">
            <v>0</v>
          </cell>
          <cell r="HT45">
            <v>0</v>
          </cell>
          <cell r="HW45">
            <v>0</v>
          </cell>
          <cell r="HZ45">
            <v>0</v>
          </cell>
          <cell r="IC45">
            <v>0</v>
          </cell>
          <cell r="IF45">
            <v>0</v>
          </cell>
        </row>
        <row r="46">
          <cell r="GP46" t="str">
            <v>Two Case, Double Flow</v>
          </cell>
          <cell r="GS46">
            <v>0</v>
          </cell>
          <cell r="GV46">
            <v>0</v>
          </cell>
          <cell r="GY46">
            <v>0</v>
          </cell>
          <cell r="HB46">
            <v>0</v>
          </cell>
          <cell r="HE46">
            <v>0</v>
          </cell>
          <cell r="HH46">
            <v>0</v>
          </cell>
          <cell r="HK46">
            <v>0</v>
          </cell>
          <cell r="HN46">
            <v>0</v>
          </cell>
          <cell r="HQ46">
            <v>0</v>
          </cell>
          <cell r="HT46">
            <v>0</v>
          </cell>
          <cell r="HW46">
            <v>0</v>
          </cell>
          <cell r="HZ46">
            <v>0</v>
          </cell>
          <cell r="IC46">
            <v>0</v>
          </cell>
          <cell r="IF46">
            <v>0</v>
          </cell>
        </row>
        <row r="47">
          <cell r="GP47" t="str">
            <v>Two Case, Single Flow</v>
          </cell>
          <cell r="GS47">
            <v>0</v>
          </cell>
          <cell r="GV47">
            <v>0</v>
          </cell>
          <cell r="GY47">
            <v>0</v>
          </cell>
          <cell r="HB47">
            <v>0</v>
          </cell>
          <cell r="HE47">
            <v>0</v>
          </cell>
          <cell r="HH47">
            <v>0</v>
          </cell>
          <cell r="HK47">
            <v>0</v>
          </cell>
          <cell r="HN47">
            <v>0</v>
          </cell>
          <cell r="HQ47">
            <v>0</v>
          </cell>
          <cell r="HT47">
            <v>0</v>
          </cell>
          <cell r="HW47">
            <v>0</v>
          </cell>
          <cell r="HZ47">
            <v>0</v>
          </cell>
          <cell r="IC47">
            <v>0</v>
          </cell>
          <cell r="IF47">
            <v>0</v>
          </cell>
        </row>
        <row r="48">
          <cell r="GP48">
            <v>0</v>
          </cell>
          <cell r="GS48">
            <v>0</v>
          </cell>
          <cell r="GV48">
            <v>0</v>
          </cell>
          <cell r="GY48">
            <v>0</v>
          </cell>
          <cell r="HB48">
            <v>0</v>
          </cell>
          <cell r="HE48">
            <v>0</v>
          </cell>
          <cell r="HH48">
            <v>0</v>
          </cell>
          <cell r="HK48">
            <v>0</v>
          </cell>
          <cell r="HN48">
            <v>0</v>
          </cell>
          <cell r="HQ48">
            <v>0</v>
          </cell>
          <cell r="HT48">
            <v>0</v>
          </cell>
          <cell r="HW48">
            <v>0</v>
          </cell>
          <cell r="HZ48">
            <v>0</v>
          </cell>
          <cell r="IC48">
            <v>0</v>
          </cell>
          <cell r="IF48">
            <v>0</v>
          </cell>
        </row>
        <row r="49">
          <cell r="GP49">
            <v>0</v>
          </cell>
          <cell r="GS49">
            <v>0</v>
          </cell>
          <cell r="GV49">
            <v>0</v>
          </cell>
          <cell r="GY49">
            <v>0</v>
          </cell>
          <cell r="HB49">
            <v>0</v>
          </cell>
          <cell r="HE49">
            <v>0</v>
          </cell>
          <cell r="HH49">
            <v>0</v>
          </cell>
          <cell r="HK49">
            <v>0</v>
          </cell>
          <cell r="HN49">
            <v>0</v>
          </cell>
          <cell r="HQ49">
            <v>0</v>
          </cell>
          <cell r="HT49">
            <v>0</v>
          </cell>
          <cell r="HW49">
            <v>0</v>
          </cell>
          <cell r="HZ49">
            <v>0</v>
          </cell>
          <cell r="IC49">
            <v>0</v>
          </cell>
          <cell r="IF49">
            <v>0</v>
          </cell>
        </row>
        <row r="50">
          <cell r="GP50">
            <v>0</v>
          </cell>
          <cell r="GS50">
            <v>0</v>
          </cell>
          <cell r="GV50">
            <v>0</v>
          </cell>
          <cell r="GY50">
            <v>0</v>
          </cell>
          <cell r="HB50">
            <v>0</v>
          </cell>
          <cell r="HE50">
            <v>0</v>
          </cell>
          <cell r="HH50">
            <v>0</v>
          </cell>
          <cell r="HK50">
            <v>0</v>
          </cell>
          <cell r="HN50">
            <v>0</v>
          </cell>
          <cell r="HQ50">
            <v>0</v>
          </cell>
          <cell r="HT50">
            <v>0</v>
          </cell>
          <cell r="HW50">
            <v>0</v>
          </cell>
          <cell r="HZ50">
            <v>0</v>
          </cell>
          <cell r="IC50">
            <v>0</v>
          </cell>
          <cell r="IF50">
            <v>0</v>
          </cell>
        </row>
        <row r="51">
          <cell r="GP51">
            <v>0</v>
          </cell>
          <cell r="GS51">
            <v>0</v>
          </cell>
          <cell r="GV51">
            <v>0</v>
          </cell>
          <cell r="GY51">
            <v>0</v>
          </cell>
          <cell r="HB51">
            <v>0</v>
          </cell>
          <cell r="HE51">
            <v>0</v>
          </cell>
          <cell r="HH51">
            <v>0</v>
          </cell>
          <cell r="HK51">
            <v>0</v>
          </cell>
          <cell r="HN51">
            <v>0</v>
          </cell>
          <cell r="HQ51">
            <v>0</v>
          </cell>
          <cell r="HT51">
            <v>0</v>
          </cell>
          <cell r="HW51">
            <v>0</v>
          </cell>
          <cell r="HZ51">
            <v>0</v>
          </cell>
          <cell r="IC51">
            <v>0</v>
          </cell>
          <cell r="IF51">
            <v>0</v>
          </cell>
        </row>
        <row r="52">
          <cell r="GP52">
            <v>0</v>
          </cell>
          <cell r="GS52">
            <v>0</v>
          </cell>
          <cell r="GV52">
            <v>0</v>
          </cell>
          <cell r="GY52">
            <v>0</v>
          </cell>
          <cell r="HB52">
            <v>0</v>
          </cell>
          <cell r="HE52">
            <v>0</v>
          </cell>
          <cell r="HH52">
            <v>0</v>
          </cell>
          <cell r="HK52">
            <v>0</v>
          </cell>
          <cell r="HN52">
            <v>0</v>
          </cell>
          <cell r="HQ52">
            <v>0</v>
          </cell>
          <cell r="HT52">
            <v>0</v>
          </cell>
          <cell r="HW52">
            <v>0</v>
          </cell>
          <cell r="HZ52">
            <v>0</v>
          </cell>
          <cell r="IC52">
            <v>0</v>
          </cell>
          <cell r="IF52">
            <v>0</v>
          </cell>
        </row>
        <row r="53">
          <cell r="GP53">
            <v>0</v>
          </cell>
          <cell r="GS53">
            <v>0</v>
          </cell>
          <cell r="GV53">
            <v>0</v>
          </cell>
          <cell r="GY53">
            <v>0</v>
          </cell>
          <cell r="HB53">
            <v>0</v>
          </cell>
          <cell r="HE53">
            <v>0</v>
          </cell>
          <cell r="HH53">
            <v>0</v>
          </cell>
          <cell r="HK53">
            <v>0</v>
          </cell>
          <cell r="HN53">
            <v>0</v>
          </cell>
          <cell r="HQ53">
            <v>0</v>
          </cell>
          <cell r="HT53">
            <v>0</v>
          </cell>
          <cell r="HW53">
            <v>0</v>
          </cell>
          <cell r="HZ53">
            <v>0</v>
          </cell>
          <cell r="IC53">
            <v>0</v>
          </cell>
          <cell r="IF53">
            <v>0</v>
          </cell>
        </row>
        <row r="54">
          <cell r="GP54">
            <v>0</v>
          </cell>
          <cell r="GS54">
            <v>0</v>
          </cell>
          <cell r="GV54">
            <v>0</v>
          </cell>
          <cell r="GY54">
            <v>0</v>
          </cell>
          <cell r="HB54">
            <v>0</v>
          </cell>
          <cell r="HE54">
            <v>0</v>
          </cell>
          <cell r="HH54">
            <v>0</v>
          </cell>
          <cell r="HK54">
            <v>0</v>
          </cell>
          <cell r="HN54">
            <v>0</v>
          </cell>
          <cell r="HQ54">
            <v>0</v>
          </cell>
          <cell r="HT54">
            <v>0</v>
          </cell>
          <cell r="HW54">
            <v>0</v>
          </cell>
          <cell r="HZ54">
            <v>0</v>
          </cell>
          <cell r="IC54">
            <v>0</v>
          </cell>
          <cell r="IF54">
            <v>0</v>
          </cell>
        </row>
        <row r="55">
          <cell r="GP55">
            <v>0</v>
          </cell>
          <cell r="GS55">
            <v>0</v>
          </cell>
          <cell r="GV55">
            <v>0</v>
          </cell>
          <cell r="GY55">
            <v>0</v>
          </cell>
          <cell r="HB55">
            <v>0</v>
          </cell>
          <cell r="HE55">
            <v>0</v>
          </cell>
          <cell r="HH55">
            <v>0</v>
          </cell>
          <cell r="HK55">
            <v>0</v>
          </cell>
          <cell r="HN55">
            <v>0</v>
          </cell>
          <cell r="HQ55">
            <v>0</v>
          </cell>
          <cell r="HT55">
            <v>0</v>
          </cell>
          <cell r="HW55">
            <v>0</v>
          </cell>
          <cell r="HZ55">
            <v>0</v>
          </cell>
          <cell r="IC55">
            <v>0</v>
          </cell>
          <cell r="IF55">
            <v>0</v>
          </cell>
        </row>
        <row r="56">
          <cell r="GP56">
            <v>0</v>
          </cell>
          <cell r="GS56">
            <v>0</v>
          </cell>
          <cell r="GV56">
            <v>0</v>
          </cell>
          <cell r="GY56">
            <v>0</v>
          </cell>
          <cell r="HB56">
            <v>0</v>
          </cell>
          <cell r="HE56">
            <v>0</v>
          </cell>
          <cell r="HH56">
            <v>0</v>
          </cell>
          <cell r="HK56">
            <v>0</v>
          </cell>
          <cell r="HN56">
            <v>0</v>
          </cell>
          <cell r="HQ56">
            <v>0</v>
          </cell>
          <cell r="HT56">
            <v>0</v>
          </cell>
          <cell r="HW56">
            <v>0</v>
          </cell>
          <cell r="HZ56">
            <v>0</v>
          </cell>
          <cell r="IC56">
            <v>0</v>
          </cell>
          <cell r="IF56">
            <v>0</v>
          </cell>
        </row>
        <row r="57">
          <cell r="GP57">
            <v>0</v>
          </cell>
          <cell r="GS57">
            <v>0</v>
          </cell>
          <cell r="GV57">
            <v>0</v>
          </cell>
          <cell r="GY57">
            <v>0</v>
          </cell>
          <cell r="HB57">
            <v>0</v>
          </cell>
          <cell r="HE57">
            <v>0</v>
          </cell>
          <cell r="HH57">
            <v>0</v>
          </cell>
          <cell r="HK57">
            <v>0</v>
          </cell>
          <cell r="HN57">
            <v>0</v>
          </cell>
          <cell r="HQ57">
            <v>0</v>
          </cell>
          <cell r="HT57">
            <v>0</v>
          </cell>
          <cell r="HW57">
            <v>0</v>
          </cell>
          <cell r="HZ57">
            <v>0</v>
          </cell>
          <cell r="IC57">
            <v>0</v>
          </cell>
          <cell r="IF57">
            <v>0</v>
          </cell>
        </row>
        <row r="58">
          <cell r="GP58">
            <v>0</v>
          </cell>
          <cell r="GS58">
            <v>0</v>
          </cell>
          <cell r="GV58">
            <v>0</v>
          </cell>
          <cell r="GY58">
            <v>0</v>
          </cell>
          <cell r="HB58">
            <v>0</v>
          </cell>
          <cell r="HE58">
            <v>0</v>
          </cell>
          <cell r="HH58">
            <v>0</v>
          </cell>
          <cell r="HK58">
            <v>0</v>
          </cell>
          <cell r="HN58">
            <v>0</v>
          </cell>
          <cell r="HQ58">
            <v>0</v>
          </cell>
          <cell r="HT58">
            <v>0</v>
          </cell>
          <cell r="HW58">
            <v>0</v>
          </cell>
          <cell r="HZ58">
            <v>0</v>
          </cell>
          <cell r="IC58">
            <v>0</v>
          </cell>
          <cell r="IF58">
            <v>0</v>
          </cell>
        </row>
        <row r="59">
          <cell r="GP59">
            <v>0</v>
          </cell>
          <cell r="GS59">
            <v>0</v>
          </cell>
          <cell r="GV59">
            <v>0</v>
          </cell>
          <cell r="GY59">
            <v>0</v>
          </cell>
          <cell r="HB59">
            <v>0</v>
          </cell>
          <cell r="HE59">
            <v>0</v>
          </cell>
          <cell r="HH59">
            <v>0</v>
          </cell>
          <cell r="HK59">
            <v>0</v>
          </cell>
          <cell r="HN59">
            <v>0</v>
          </cell>
          <cell r="HQ59">
            <v>0</v>
          </cell>
          <cell r="HT59">
            <v>0</v>
          </cell>
          <cell r="HW59">
            <v>0</v>
          </cell>
          <cell r="HZ59">
            <v>0</v>
          </cell>
          <cell r="IC59">
            <v>0</v>
          </cell>
          <cell r="IF59">
            <v>0</v>
          </cell>
        </row>
        <row r="60">
          <cell r="GP60" t="str">
            <v>Auxiliary Boilers</v>
          </cell>
          <cell r="GQ60">
            <v>3000</v>
          </cell>
          <cell r="GR60">
            <v>5000</v>
          </cell>
          <cell r="GS60">
            <v>5000</v>
          </cell>
          <cell r="GT60">
            <v>3000</v>
          </cell>
          <cell r="GV60">
            <v>3000</v>
          </cell>
          <cell r="GW60">
            <v>3000</v>
          </cell>
          <cell r="GY60">
            <v>3000</v>
          </cell>
          <cell r="GZ60">
            <v>3000</v>
          </cell>
          <cell r="HB60">
            <v>3000</v>
          </cell>
          <cell r="HC60">
            <v>3000</v>
          </cell>
          <cell r="HE60">
            <v>3000</v>
          </cell>
          <cell r="HF60">
            <v>3000</v>
          </cell>
          <cell r="HH60">
            <v>3000</v>
          </cell>
          <cell r="HI60">
            <v>3000</v>
          </cell>
          <cell r="HK60">
            <v>3000</v>
          </cell>
          <cell r="HL60">
            <v>3000</v>
          </cell>
          <cell r="HN60">
            <v>3000</v>
          </cell>
          <cell r="HO60">
            <v>3000</v>
          </cell>
          <cell r="HQ60">
            <v>3000</v>
          </cell>
          <cell r="HR60">
            <v>3000</v>
          </cell>
          <cell r="HS60">
            <v>5000</v>
          </cell>
          <cell r="HT60">
            <v>5000</v>
          </cell>
          <cell r="HU60">
            <v>3000</v>
          </cell>
          <cell r="HW60">
            <v>3000</v>
          </cell>
          <cell r="HX60">
            <v>3000</v>
          </cell>
          <cell r="HZ60">
            <v>3000</v>
          </cell>
          <cell r="IA60">
            <v>3000</v>
          </cell>
          <cell r="IC60">
            <v>3000</v>
          </cell>
          <cell r="ID60">
            <v>3000</v>
          </cell>
          <cell r="IF60">
            <v>3000</v>
          </cell>
        </row>
        <row r="61">
          <cell r="GP61" t="str">
            <v>Auxiliary Boiler SCR</v>
          </cell>
          <cell r="GS61">
            <v>0</v>
          </cell>
          <cell r="GV61">
            <v>0</v>
          </cell>
          <cell r="GY61">
            <v>0</v>
          </cell>
          <cell r="HB61">
            <v>0</v>
          </cell>
          <cell r="HE61">
            <v>0</v>
          </cell>
          <cell r="HH61">
            <v>0</v>
          </cell>
          <cell r="HK61">
            <v>0</v>
          </cell>
          <cell r="HN61">
            <v>0</v>
          </cell>
          <cell r="HQ61">
            <v>0</v>
          </cell>
          <cell r="HT61">
            <v>0</v>
          </cell>
          <cell r="HW61">
            <v>0</v>
          </cell>
          <cell r="HZ61">
            <v>0</v>
          </cell>
          <cell r="IC61">
            <v>0</v>
          </cell>
          <cell r="IF61">
            <v>0</v>
          </cell>
        </row>
        <row r="62">
          <cell r="GP62" t="str">
            <v>Auxiliary Boiler Feed Pump</v>
          </cell>
          <cell r="GQ62">
            <v>500</v>
          </cell>
          <cell r="GS62">
            <v>500</v>
          </cell>
          <cell r="GT62">
            <v>500</v>
          </cell>
          <cell r="GV62">
            <v>500</v>
          </cell>
          <cell r="GW62">
            <v>500</v>
          </cell>
          <cell r="GY62">
            <v>500</v>
          </cell>
          <cell r="GZ62">
            <v>500</v>
          </cell>
          <cell r="HB62">
            <v>500</v>
          </cell>
          <cell r="HC62">
            <v>500</v>
          </cell>
          <cell r="HE62">
            <v>500</v>
          </cell>
          <cell r="HF62">
            <v>500</v>
          </cell>
          <cell r="HH62">
            <v>500</v>
          </cell>
          <cell r="HI62">
            <v>500</v>
          </cell>
          <cell r="HK62">
            <v>500</v>
          </cell>
          <cell r="HL62">
            <v>500</v>
          </cell>
          <cell r="HN62">
            <v>500</v>
          </cell>
          <cell r="HO62">
            <v>500</v>
          </cell>
          <cell r="HQ62">
            <v>500</v>
          </cell>
          <cell r="HR62">
            <v>500</v>
          </cell>
          <cell r="HT62">
            <v>500</v>
          </cell>
          <cell r="HU62">
            <v>500</v>
          </cell>
          <cell r="HW62">
            <v>500</v>
          </cell>
          <cell r="HX62">
            <v>500</v>
          </cell>
          <cell r="HZ62">
            <v>500</v>
          </cell>
          <cell r="IA62">
            <v>500</v>
          </cell>
          <cell r="IC62">
            <v>500</v>
          </cell>
          <cell r="ID62">
            <v>500</v>
          </cell>
          <cell r="IF62">
            <v>500</v>
          </cell>
        </row>
        <row r="63">
          <cell r="GP63" t="str">
            <v>Auxiliary Boiler Deaerator</v>
          </cell>
          <cell r="GS63">
            <v>0</v>
          </cell>
          <cell r="GV63">
            <v>0</v>
          </cell>
          <cell r="GY63">
            <v>0</v>
          </cell>
          <cell r="HB63">
            <v>0</v>
          </cell>
          <cell r="HE63">
            <v>0</v>
          </cell>
          <cell r="HH63">
            <v>0</v>
          </cell>
          <cell r="HK63">
            <v>0</v>
          </cell>
          <cell r="HN63">
            <v>0</v>
          </cell>
          <cell r="HQ63">
            <v>0</v>
          </cell>
          <cell r="HT63">
            <v>0</v>
          </cell>
          <cell r="HW63">
            <v>0</v>
          </cell>
          <cell r="HZ63">
            <v>0</v>
          </cell>
          <cell r="IC63">
            <v>0</v>
          </cell>
          <cell r="IF63">
            <v>0</v>
          </cell>
        </row>
        <row r="64">
          <cell r="GP64" t="str">
            <v>Deaerators</v>
          </cell>
          <cell r="GQ64">
            <v>100</v>
          </cell>
          <cell r="GS64">
            <v>100</v>
          </cell>
          <cell r="GT64">
            <v>100</v>
          </cell>
          <cell r="GV64">
            <v>100</v>
          </cell>
          <cell r="GW64">
            <v>100</v>
          </cell>
          <cell r="GY64">
            <v>100</v>
          </cell>
          <cell r="GZ64">
            <v>100</v>
          </cell>
          <cell r="HB64">
            <v>100</v>
          </cell>
          <cell r="HC64">
            <v>100</v>
          </cell>
          <cell r="HE64">
            <v>100</v>
          </cell>
          <cell r="HF64">
            <v>100</v>
          </cell>
          <cell r="HH64">
            <v>100</v>
          </cell>
          <cell r="HI64">
            <v>100</v>
          </cell>
          <cell r="HK64">
            <v>100</v>
          </cell>
          <cell r="HL64">
            <v>100</v>
          </cell>
          <cell r="HN64">
            <v>100</v>
          </cell>
          <cell r="HO64">
            <v>100</v>
          </cell>
          <cell r="HQ64">
            <v>100</v>
          </cell>
          <cell r="HR64">
            <v>100</v>
          </cell>
          <cell r="HT64">
            <v>100</v>
          </cell>
          <cell r="HU64">
            <v>100</v>
          </cell>
          <cell r="HW64">
            <v>100</v>
          </cell>
          <cell r="HX64">
            <v>100</v>
          </cell>
          <cell r="HZ64">
            <v>100</v>
          </cell>
          <cell r="IA64">
            <v>100</v>
          </cell>
          <cell r="IC64">
            <v>100</v>
          </cell>
          <cell r="ID64">
            <v>100</v>
          </cell>
          <cell r="IF64">
            <v>100</v>
          </cell>
        </row>
        <row r="65">
          <cell r="GP65" t="str">
            <v>ST Surface Condensers</v>
          </cell>
          <cell r="GQ65">
            <v>4000</v>
          </cell>
          <cell r="GR65">
            <v>100</v>
          </cell>
          <cell r="GS65">
            <v>100</v>
          </cell>
          <cell r="GT65">
            <v>4000</v>
          </cell>
          <cell r="GV65">
            <v>4000</v>
          </cell>
          <cell r="GW65">
            <v>4000</v>
          </cell>
          <cell r="GY65">
            <v>4000</v>
          </cell>
          <cell r="GZ65">
            <v>4000</v>
          </cell>
          <cell r="HB65">
            <v>4000</v>
          </cell>
          <cell r="HC65">
            <v>4000</v>
          </cell>
          <cell r="HE65">
            <v>4000</v>
          </cell>
          <cell r="HF65">
            <v>4000</v>
          </cell>
          <cell r="HH65">
            <v>4000</v>
          </cell>
          <cell r="HI65">
            <v>4000</v>
          </cell>
          <cell r="HK65">
            <v>4000</v>
          </cell>
          <cell r="HL65">
            <v>4000</v>
          </cell>
          <cell r="HN65">
            <v>4000</v>
          </cell>
          <cell r="HO65">
            <v>4000</v>
          </cell>
          <cell r="HQ65">
            <v>4000</v>
          </cell>
          <cell r="HR65">
            <v>4000</v>
          </cell>
          <cell r="HS65">
            <v>100</v>
          </cell>
          <cell r="HT65">
            <v>100</v>
          </cell>
          <cell r="HU65">
            <v>4000</v>
          </cell>
          <cell r="HW65">
            <v>4000</v>
          </cell>
          <cell r="HX65">
            <v>4000</v>
          </cell>
          <cell r="HZ65">
            <v>4000</v>
          </cell>
          <cell r="IA65">
            <v>4000</v>
          </cell>
          <cell r="IC65">
            <v>4000</v>
          </cell>
          <cell r="ID65">
            <v>4000</v>
          </cell>
          <cell r="IF65">
            <v>4000</v>
          </cell>
        </row>
        <row r="66">
          <cell r="GP66" t="str">
            <v>Titanium Tubes Option</v>
          </cell>
          <cell r="GS66">
            <v>0</v>
          </cell>
          <cell r="GV66">
            <v>0</v>
          </cell>
          <cell r="GY66">
            <v>0</v>
          </cell>
          <cell r="HB66">
            <v>0</v>
          </cell>
          <cell r="HE66">
            <v>0</v>
          </cell>
          <cell r="HH66">
            <v>0</v>
          </cell>
          <cell r="HK66">
            <v>0</v>
          </cell>
          <cell r="HN66">
            <v>0</v>
          </cell>
          <cell r="HQ66">
            <v>0</v>
          </cell>
          <cell r="HT66">
            <v>0</v>
          </cell>
          <cell r="HW66">
            <v>0</v>
          </cell>
          <cell r="HZ66">
            <v>0</v>
          </cell>
          <cell r="IC66">
            <v>0</v>
          </cell>
          <cell r="IF66">
            <v>0</v>
          </cell>
        </row>
        <row r="67">
          <cell r="GP67" t="str">
            <v>Air Removal Skid - Hogger only (Vac. Pumps Incl.w/Condr.)</v>
          </cell>
          <cell r="GQ67">
            <v>100</v>
          </cell>
          <cell r="GS67">
            <v>100</v>
          </cell>
          <cell r="GT67">
            <v>100</v>
          </cell>
          <cell r="GV67">
            <v>100</v>
          </cell>
          <cell r="GW67">
            <v>100</v>
          </cell>
          <cell r="GY67">
            <v>100</v>
          </cell>
          <cell r="GZ67">
            <v>100</v>
          </cell>
          <cell r="HB67">
            <v>100</v>
          </cell>
          <cell r="HC67">
            <v>100</v>
          </cell>
          <cell r="HE67">
            <v>100</v>
          </cell>
          <cell r="HF67">
            <v>100</v>
          </cell>
          <cell r="HH67">
            <v>100</v>
          </cell>
          <cell r="HI67">
            <v>100</v>
          </cell>
          <cell r="HK67">
            <v>100</v>
          </cell>
          <cell r="HL67">
            <v>100</v>
          </cell>
          <cell r="HN67">
            <v>100</v>
          </cell>
          <cell r="HO67">
            <v>100</v>
          </cell>
          <cell r="HQ67">
            <v>100</v>
          </cell>
          <cell r="HR67">
            <v>100</v>
          </cell>
          <cell r="HT67">
            <v>100</v>
          </cell>
          <cell r="HU67">
            <v>100</v>
          </cell>
          <cell r="HW67">
            <v>100</v>
          </cell>
          <cell r="HX67">
            <v>100</v>
          </cell>
          <cell r="HZ67">
            <v>100</v>
          </cell>
          <cell r="IA67">
            <v>100</v>
          </cell>
          <cell r="IC67">
            <v>100</v>
          </cell>
          <cell r="ID67">
            <v>100</v>
          </cell>
          <cell r="IF67">
            <v>100</v>
          </cell>
        </row>
        <row r="68">
          <cell r="GP68" t="str">
            <v>Air Removal Skid - Complete</v>
          </cell>
          <cell r="GQ68">
            <v>100</v>
          </cell>
          <cell r="GS68">
            <v>100</v>
          </cell>
          <cell r="GT68">
            <v>100</v>
          </cell>
          <cell r="GV68">
            <v>100</v>
          </cell>
          <cell r="GW68">
            <v>100</v>
          </cell>
          <cell r="GY68">
            <v>100</v>
          </cell>
          <cell r="GZ68">
            <v>100</v>
          </cell>
          <cell r="HB68">
            <v>100</v>
          </cell>
          <cell r="HC68">
            <v>100</v>
          </cell>
          <cell r="HE68">
            <v>100</v>
          </cell>
          <cell r="HF68">
            <v>100</v>
          </cell>
          <cell r="HH68">
            <v>100</v>
          </cell>
          <cell r="HI68">
            <v>100</v>
          </cell>
          <cell r="HK68">
            <v>100</v>
          </cell>
          <cell r="HL68">
            <v>100</v>
          </cell>
          <cell r="HN68">
            <v>100</v>
          </cell>
          <cell r="HO68">
            <v>100</v>
          </cell>
          <cell r="HQ68">
            <v>100</v>
          </cell>
          <cell r="HR68">
            <v>100</v>
          </cell>
          <cell r="HT68">
            <v>100</v>
          </cell>
          <cell r="HU68">
            <v>100</v>
          </cell>
          <cell r="HW68">
            <v>100</v>
          </cell>
          <cell r="HX68">
            <v>100</v>
          </cell>
          <cell r="HZ68">
            <v>100</v>
          </cell>
          <cell r="IA68">
            <v>100</v>
          </cell>
          <cell r="IC68">
            <v>100</v>
          </cell>
          <cell r="ID68">
            <v>100</v>
          </cell>
          <cell r="IF68">
            <v>100</v>
          </cell>
        </row>
        <row r="69">
          <cell r="GP69" t="str">
            <v>Air Cooled Condenser</v>
          </cell>
          <cell r="GQ69">
            <v>150000</v>
          </cell>
          <cell r="GS69">
            <v>150000</v>
          </cell>
          <cell r="GT69">
            <v>150000</v>
          </cell>
          <cell r="GV69">
            <v>150000</v>
          </cell>
          <cell r="GW69">
            <v>150000</v>
          </cell>
          <cell r="GY69">
            <v>150000</v>
          </cell>
          <cell r="GZ69">
            <v>150000</v>
          </cell>
          <cell r="HB69">
            <v>150000</v>
          </cell>
          <cell r="HC69">
            <v>150000</v>
          </cell>
          <cell r="HE69">
            <v>150000</v>
          </cell>
          <cell r="HF69">
            <v>150000</v>
          </cell>
          <cell r="HH69">
            <v>150000</v>
          </cell>
          <cell r="HI69">
            <v>150000</v>
          </cell>
          <cell r="HK69">
            <v>150000</v>
          </cell>
          <cell r="HL69">
            <v>150000</v>
          </cell>
          <cell r="HN69">
            <v>150000</v>
          </cell>
          <cell r="HO69">
            <v>150000</v>
          </cell>
          <cell r="HQ69">
            <v>150000</v>
          </cell>
          <cell r="HR69">
            <v>150000</v>
          </cell>
          <cell r="HT69">
            <v>150000</v>
          </cell>
          <cell r="HU69">
            <v>150000</v>
          </cell>
          <cell r="HW69">
            <v>150000</v>
          </cell>
          <cell r="HX69">
            <v>150000</v>
          </cell>
          <cell r="HZ69">
            <v>150000</v>
          </cell>
          <cell r="IA69">
            <v>150000</v>
          </cell>
          <cell r="IC69">
            <v>150000</v>
          </cell>
          <cell r="ID69">
            <v>150000</v>
          </cell>
          <cell r="IF69">
            <v>150000</v>
          </cell>
        </row>
        <row r="70">
          <cell r="GP70" t="str">
            <v>Cooling Tower</v>
          </cell>
          <cell r="GS70">
            <v>0</v>
          </cell>
          <cell r="GV70">
            <v>0</v>
          </cell>
          <cell r="GY70">
            <v>0</v>
          </cell>
          <cell r="HB70">
            <v>0</v>
          </cell>
          <cell r="HE70">
            <v>0</v>
          </cell>
          <cell r="HH70">
            <v>0</v>
          </cell>
          <cell r="HK70">
            <v>0</v>
          </cell>
          <cell r="HN70">
            <v>0</v>
          </cell>
          <cell r="HQ70">
            <v>0</v>
          </cell>
          <cell r="HT70">
            <v>0</v>
          </cell>
          <cell r="HW70">
            <v>0</v>
          </cell>
          <cell r="HZ70">
            <v>0</v>
          </cell>
          <cell r="IC70">
            <v>0</v>
          </cell>
          <cell r="IF70">
            <v>0</v>
          </cell>
        </row>
        <row r="71">
          <cell r="GP71" t="str">
            <v>Noise Attenuation Option</v>
          </cell>
          <cell r="GS71">
            <v>0</v>
          </cell>
          <cell r="GV71">
            <v>0</v>
          </cell>
          <cell r="GY71">
            <v>0</v>
          </cell>
          <cell r="HB71">
            <v>0</v>
          </cell>
          <cell r="HE71">
            <v>0</v>
          </cell>
          <cell r="HH71">
            <v>0</v>
          </cell>
          <cell r="HK71">
            <v>0</v>
          </cell>
          <cell r="HN71">
            <v>0</v>
          </cell>
          <cell r="HQ71">
            <v>0</v>
          </cell>
          <cell r="HT71">
            <v>0</v>
          </cell>
          <cell r="HW71">
            <v>0</v>
          </cell>
          <cell r="HZ71">
            <v>0</v>
          </cell>
          <cell r="IC71">
            <v>0</v>
          </cell>
          <cell r="IF71">
            <v>0</v>
          </cell>
        </row>
        <row r="72">
          <cell r="GP72" t="str">
            <v>Plume Abatement Option</v>
          </cell>
          <cell r="GS72">
            <v>0</v>
          </cell>
          <cell r="GV72">
            <v>0</v>
          </cell>
          <cell r="GY72">
            <v>0</v>
          </cell>
          <cell r="HB72">
            <v>0</v>
          </cell>
          <cell r="HE72">
            <v>0</v>
          </cell>
          <cell r="HH72">
            <v>0</v>
          </cell>
          <cell r="HK72">
            <v>0</v>
          </cell>
          <cell r="HN72">
            <v>0</v>
          </cell>
          <cell r="HQ72">
            <v>0</v>
          </cell>
          <cell r="HT72">
            <v>0</v>
          </cell>
          <cell r="HW72">
            <v>0</v>
          </cell>
          <cell r="HZ72">
            <v>0</v>
          </cell>
          <cell r="IC72">
            <v>0</v>
          </cell>
          <cell r="IF72">
            <v>0</v>
          </cell>
        </row>
        <row r="73">
          <cell r="GP73" t="str">
            <v>SS Pump Intake Screens</v>
          </cell>
          <cell r="GQ73">
            <v>200</v>
          </cell>
          <cell r="GS73">
            <v>200</v>
          </cell>
          <cell r="GV73">
            <v>0</v>
          </cell>
          <cell r="GY73">
            <v>0</v>
          </cell>
          <cell r="HB73">
            <v>0</v>
          </cell>
          <cell r="HE73">
            <v>0</v>
          </cell>
          <cell r="HH73">
            <v>0</v>
          </cell>
          <cell r="HK73">
            <v>0</v>
          </cell>
          <cell r="HN73">
            <v>0</v>
          </cell>
          <cell r="HQ73">
            <v>0</v>
          </cell>
          <cell r="HR73">
            <v>200</v>
          </cell>
          <cell r="HT73">
            <v>200</v>
          </cell>
          <cell r="HW73">
            <v>0</v>
          </cell>
          <cell r="HZ73">
            <v>0</v>
          </cell>
          <cell r="IC73">
            <v>0</v>
          </cell>
          <cell r="IF73">
            <v>0</v>
          </cell>
        </row>
        <row r="74">
          <cell r="GP74" t="str">
            <v>Travelling Screens</v>
          </cell>
          <cell r="GS74">
            <v>0</v>
          </cell>
          <cell r="GV74">
            <v>0</v>
          </cell>
          <cell r="GY74">
            <v>0</v>
          </cell>
          <cell r="HB74">
            <v>0</v>
          </cell>
          <cell r="HE74">
            <v>0</v>
          </cell>
          <cell r="HH74">
            <v>0</v>
          </cell>
          <cell r="HK74">
            <v>0</v>
          </cell>
          <cell r="HN74">
            <v>0</v>
          </cell>
          <cell r="HQ74">
            <v>0</v>
          </cell>
          <cell r="HT74">
            <v>0</v>
          </cell>
          <cell r="HW74">
            <v>0</v>
          </cell>
          <cell r="HZ74">
            <v>0</v>
          </cell>
          <cell r="IC74">
            <v>0</v>
          </cell>
          <cell r="IF74">
            <v>0</v>
          </cell>
        </row>
        <row r="75">
          <cell r="GP75" t="str">
            <v>Screen Wash Pump</v>
          </cell>
          <cell r="GS75">
            <v>0</v>
          </cell>
          <cell r="GV75">
            <v>0</v>
          </cell>
          <cell r="GY75">
            <v>0</v>
          </cell>
          <cell r="HB75">
            <v>0</v>
          </cell>
          <cell r="HE75">
            <v>0</v>
          </cell>
          <cell r="HH75">
            <v>0</v>
          </cell>
          <cell r="HK75">
            <v>0</v>
          </cell>
          <cell r="HN75">
            <v>0</v>
          </cell>
          <cell r="HQ75">
            <v>0</v>
          </cell>
          <cell r="HT75">
            <v>0</v>
          </cell>
          <cell r="HW75">
            <v>0</v>
          </cell>
          <cell r="HZ75">
            <v>0</v>
          </cell>
          <cell r="IC75">
            <v>0</v>
          </cell>
          <cell r="IF75">
            <v>0</v>
          </cell>
        </row>
        <row r="76">
          <cell r="GP76" t="str">
            <v>Plant Aux Cooling WSAC</v>
          </cell>
          <cell r="GQ76">
            <v>3600</v>
          </cell>
          <cell r="GS76">
            <v>3600</v>
          </cell>
          <cell r="GV76">
            <v>0</v>
          </cell>
          <cell r="GY76">
            <v>0</v>
          </cell>
          <cell r="HB76">
            <v>0</v>
          </cell>
          <cell r="HE76">
            <v>0</v>
          </cell>
          <cell r="HH76">
            <v>0</v>
          </cell>
          <cell r="HK76">
            <v>0</v>
          </cell>
          <cell r="HN76">
            <v>0</v>
          </cell>
          <cell r="HQ76">
            <v>0</v>
          </cell>
          <cell r="HR76">
            <v>3600</v>
          </cell>
          <cell r="HT76">
            <v>3600</v>
          </cell>
          <cell r="HW76">
            <v>0</v>
          </cell>
          <cell r="HZ76">
            <v>0</v>
          </cell>
          <cell r="IC76">
            <v>0</v>
          </cell>
          <cell r="IF76">
            <v>0</v>
          </cell>
        </row>
        <row r="77">
          <cell r="GP77" t="str">
            <v>GTG Aux Cooling WSAC</v>
          </cell>
          <cell r="GQ77">
            <v>3600</v>
          </cell>
          <cell r="GS77">
            <v>3600</v>
          </cell>
          <cell r="GV77">
            <v>0</v>
          </cell>
          <cell r="GY77">
            <v>0</v>
          </cell>
          <cell r="HB77">
            <v>0</v>
          </cell>
          <cell r="HE77">
            <v>0</v>
          </cell>
          <cell r="HH77">
            <v>0</v>
          </cell>
          <cell r="HK77">
            <v>0</v>
          </cell>
          <cell r="HN77">
            <v>0</v>
          </cell>
          <cell r="HQ77">
            <v>0</v>
          </cell>
          <cell r="HR77">
            <v>3600</v>
          </cell>
          <cell r="HT77">
            <v>3600</v>
          </cell>
          <cell r="HW77">
            <v>0</v>
          </cell>
          <cell r="HZ77">
            <v>0</v>
          </cell>
          <cell r="IC77">
            <v>0</v>
          </cell>
          <cell r="IF77">
            <v>0</v>
          </cell>
        </row>
        <row r="78">
          <cell r="GP78" t="str">
            <v>BOP Aux Fin Fan Coolers</v>
          </cell>
          <cell r="GQ78">
            <v>5200</v>
          </cell>
          <cell r="GS78">
            <v>5200</v>
          </cell>
          <cell r="GV78">
            <v>0</v>
          </cell>
          <cell r="GY78">
            <v>0</v>
          </cell>
          <cell r="HB78">
            <v>0</v>
          </cell>
          <cell r="HE78">
            <v>0</v>
          </cell>
          <cell r="HH78">
            <v>0</v>
          </cell>
          <cell r="HK78">
            <v>0</v>
          </cell>
          <cell r="HN78">
            <v>0</v>
          </cell>
          <cell r="HQ78">
            <v>0</v>
          </cell>
          <cell r="HR78">
            <v>5200</v>
          </cell>
          <cell r="HT78">
            <v>5200</v>
          </cell>
          <cell r="HW78">
            <v>0</v>
          </cell>
          <cell r="HZ78">
            <v>0</v>
          </cell>
          <cell r="IC78">
            <v>0</v>
          </cell>
          <cell r="IF78">
            <v>0</v>
          </cell>
        </row>
        <row r="79">
          <cell r="GP79" t="str">
            <v>GTG Aux Fin Fan Coolers</v>
          </cell>
          <cell r="GQ79">
            <v>5200</v>
          </cell>
          <cell r="GS79">
            <v>5200</v>
          </cell>
          <cell r="GV79">
            <v>0</v>
          </cell>
          <cell r="GY79">
            <v>0</v>
          </cell>
          <cell r="HB79">
            <v>0</v>
          </cell>
          <cell r="HE79">
            <v>0</v>
          </cell>
          <cell r="HH79">
            <v>0</v>
          </cell>
          <cell r="HK79">
            <v>0</v>
          </cell>
          <cell r="HN79">
            <v>0</v>
          </cell>
          <cell r="HQ79">
            <v>0</v>
          </cell>
          <cell r="HR79">
            <v>5200</v>
          </cell>
          <cell r="HT79">
            <v>5200</v>
          </cell>
          <cell r="HW79">
            <v>0</v>
          </cell>
          <cell r="HZ79">
            <v>0</v>
          </cell>
          <cell r="IC79">
            <v>0</v>
          </cell>
          <cell r="IF79">
            <v>0</v>
          </cell>
        </row>
        <row r="80">
          <cell r="GP80" t="str">
            <v>Fin-Tube to Air (LMS100)</v>
          </cell>
          <cell r="GS80">
            <v>0</v>
          </cell>
          <cell r="GV80">
            <v>0</v>
          </cell>
          <cell r="GY80">
            <v>0</v>
          </cell>
          <cell r="HB80">
            <v>0</v>
          </cell>
          <cell r="HE80">
            <v>0</v>
          </cell>
          <cell r="HH80">
            <v>0</v>
          </cell>
          <cell r="HK80">
            <v>0</v>
          </cell>
          <cell r="HN80">
            <v>0</v>
          </cell>
          <cell r="HQ80">
            <v>0</v>
          </cell>
          <cell r="HT80">
            <v>0</v>
          </cell>
          <cell r="HW80">
            <v>0</v>
          </cell>
          <cell r="HZ80">
            <v>0</v>
          </cell>
          <cell r="IC80">
            <v>0</v>
          </cell>
          <cell r="IF80">
            <v>0</v>
          </cell>
        </row>
        <row r="81">
          <cell r="GP81" t="str">
            <v>CCW Plate and Frame HX</v>
          </cell>
          <cell r="GQ81">
            <v>0</v>
          </cell>
          <cell r="GS81">
            <v>0</v>
          </cell>
          <cell r="GT81">
            <v>0</v>
          </cell>
          <cell r="GV81">
            <v>0</v>
          </cell>
          <cell r="GW81">
            <v>0</v>
          </cell>
          <cell r="GY81">
            <v>0</v>
          </cell>
          <cell r="GZ81">
            <v>0</v>
          </cell>
          <cell r="HB81">
            <v>0</v>
          </cell>
          <cell r="HC81">
            <v>0</v>
          </cell>
          <cell r="HE81">
            <v>0</v>
          </cell>
          <cell r="HF81">
            <v>0</v>
          </cell>
          <cell r="HH81">
            <v>0</v>
          </cell>
          <cell r="HI81">
            <v>0</v>
          </cell>
          <cell r="HK81">
            <v>0</v>
          </cell>
          <cell r="HL81">
            <v>0</v>
          </cell>
          <cell r="HN81">
            <v>0</v>
          </cell>
          <cell r="HO81">
            <v>0</v>
          </cell>
          <cell r="HQ81">
            <v>0</v>
          </cell>
          <cell r="HR81">
            <v>0</v>
          </cell>
          <cell r="HT81">
            <v>0</v>
          </cell>
          <cell r="HU81">
            <v>0</v>
          </cell>
          <cell r="HW81">
            <v>0</v>
          </cell>
          <cell r="HX81">
            <v>0</v>
          </cell>
          <cell r="HZ81">
            <v>0</v>
          </cell>
          <cell r="IA81">
            <v>0</v>
          </cell>
          <cell r="IC81">
            <v>0</v>
          </cell>
          <cell r="ID81">
            <v>0</v>
          </cell>
          <cell r="IF81">
            <v>0</v>
          </cell>
        </row>
        <row r="82">
          <cell r="GP82" t="str">
            <v>CCW Shell and Tube HX</v>
          </cell>
          <cell r="GQ82">
            <v>300</v>
          </cell>
          <cell r="GS82">
            <v>300</v>
          </cell>
          <cell r="GV82">
            <v>0</v>
          </cell>
          <cell r="GY82">
            <v>0</v>
          </cell>
          <cell r="HB82">
            <v>0</v>
          </cell>
          <cell r="HE82">
            <v>0</v>
          </cell>
          <cell r="HH82">
            <v>0</v>
          </cell>
          <cell r="HK82">
            <v>0</v>
          </cell>
          <cell r="HN82">
            <v>0</v>
          </cell>
          <cell r="HQ82">
            <v>0</v>
          </cell>
          <cell r="HR82">
            <v>300</v>
          </cell>
          <cell r="HT82">
            <v>300</v>
          </cell>
          <cell r="HW82">
            <v>0</v>
          </cell>
          <cell r="HZ82">
            <v>0</v>
          </cell>
          <cell r="IC82">
            <v>0</v>
          </cell>
          <cell r="IF82">
            <v>0</v>
          </cell>
        </row>
        <row r="83">
          <cell r="GP83" t="str">
            <v>HP/IP HRSG Boiler Feed Pump (Ring-Section)</v>
          </cell>
          <cell r="GQ83">
            <v>0</v>
          </cell>
          <cell r="GS83">
            <v>0</v>
          </cell>
          <cell r="GT83">
            <v>0</v>
          </cell>
          <cell r="GV83">
            <v>0</v>
          </cell>
          <cell r="GW83">
            <v>0</v>
          </cell>
          <cell r="GY83">
            <v>0</v>
          </cell>
          <cell r="GZ83">
            <v>0</v>
          </cell>
          <cell r="HB83">
            <v>0</v>
          </cell>
          <cell r="HC83">
            <v>0</v>
          </cell>
          <cell r="HE83">
            <v>0</v>
          </cell>
          <cell r="HF83">
            <v>0</v>
          </cell>
          <cell r="HH83">
            <v>0</v>
          </cell>
          <cell r="HI83">
            <v>0</v>
          </cell>
          <cell r="HK83">
            <v>0</v>
          </cell>
          <cell r="HL83">
            <v>0</v>
          </cell>
          <cell r="HN83">
            <v>0</v>
          </cell>
          <cell r="HO83">
            <v>0</v>
          </cell>
          <cell r="HQ83">
            <v>0</v>
          </cell>
          <cell r="HR83">
            <v>0</v>
          </cell>
          <cell r="HT83">
            <v>0</v>
          </cell>
          <cell r="HU83">
            <v>0</v>
          </cell>
          <cell r="HW83">
            <v>0</v>
          </cell>
          <cell r="HX83">
            <v>0</v>
          </cell>
          <cell r="HZ83">
            <v>0</v>
          </cell>
          <cell r="IA83">
            <v>0</v>
          </cell>
          <cell r="IC83">
            <v>0</v>
          </cell>
          <cell r="ID83">
            <v>0</v>
          </cell>
          <cell r="IF83">
            <v>0</v>
          </cell>
        </row>
        <row r="84">
          <cell r="GP84" t="str">
            <v>HP/IP HRSG Boiler Feed Pump (Horizontally Split)</v>
          </cell>
          <cell r="GQ84">
            <v>0</v>
          </cell>
          <cell r="GS84">
            <v>0</v>
          </cell>
          <cell r="GT84">
            <v>0</v>
          </cell>
          <cell r="GV84">
            <v>0</v>
          </cell>
          <cell r="GW84">
            <v>0</v>
          </cell>
          <cell r="GY84">
            <v>0</v>
          </cell>
          <cell r="GZ84">
            <v>0</v>
          </cell>
          <cell r="HB84">
            <v>0</v>
          </cell>
          <cell r="HC84">
            <v>0</v>
          </cell>
          <cell r="HE84">
            <v>0</v>
          </cell>
          <cell r="HF84">
            <v>0</v>
          </cell>
          <cell r="HH84">
            <v>0</v>
          </cell>
          <cell r="HI84">
            <v>0</v>
          </cell>
          <cell r="HK84">
            <v>0</v>
          </cell>
          <cell r="HL84">
            <v>0</v>
          </cell>
          <cell r="HN84">
            <v>0</v>
          </cell>
          <cell r="HO84">
            <v>0</v>
          </cell>
          <cell r="HQ84">
            <v>0</v>
          </cell>
          <cell r="HR84">
            <v>0</v>
          </cell>
          <cell r="HT84">
            <v>0</v>
          </cell>
          <cell r="HU84">
            <v>0</v>
          </cell>
          <cell r="HW84">
            <v>0</v>
          </cell>
          <cell r="HX84">
            <v>0</v>
          </cell>
          <cell r="HZ84">
            <v>0</v>
          </cell>
          <cell r="IA84">
            <v>0</v>
          </cell>
          <cell r="IC84">
            <v>0</v>
          </cell>
          <cell r="ID84">
            <v>0</v>
          </cell>
          <cell r="IF84">
            <v>0</v>
          </cell>
        </row>
        <row r="85">
          <cell r="GP85" t="str">
            <v>Circulating/Cooling Water Pump</v>
          </cell>
          <cell r="GQ85">
            <v>0</v>
          </cell>
          <cell r="GS85">
            <v>0</v>
          </cell>
          <cell r="GT85">
            <v>0</v>
          </cell>
          <cell r="GV85">
            <v>0</v>
          </cell>
          <cell r="GW85">
            <v>0</v>
          </cell>
          <cell r="GY85">
            <v>0</v>
          </cell>
          <cell r="GZ85">
            <v>0</v>
          </cell>
          <cell r="HB85">
            <v>0</v>
          </cell>
          <cell r="HC85">
            <v>0</v>
          </cell>
          <cell r="HE85">
            <v>0</v>
          </cell>
          <cell r="HF85">
            <v>0</v>
          </cell>
          <cell r="HH85">
            <v>0</v>
          </cell>
          <cell r="HI85">
            <v>0</v>
          </cell>
          <cell r="HK85">
            <v>0</v>
          </cell>
          <cell r="HL85">
            <v>0</v>
          </cell>
          <cell r="HN85">
            <v>0</v>
          </cell>
          <cell r="HO85">
            <v>0</v>
          </cell>
          <cell r="HQ85">
            <v>0</v>
          </cell>
          <cell r="HR85">
            <v>0</v>
          </cell>
          <cell r="HT85">
            <v>0</v>
          </cell>
          <cell r="HU85">
            <v>0</v>
          </cell>
          <cell r="HW85">
            <v>0</v>
          </cell>
          <cell r="HX85">
            <v>0</v>
          </cell>
          <cell r="HZ85">
            <v>0</v>
          </cell>
          <cell r="IA85">
            <v>0</v>
          </cell>
          <cell r="IC85">
            <v>0</v>
          </cell>
          <cell r="ID85">
            <v>0</v>
          </cell>
          <cell r="IF85">
            <v>0</v>
          </cell>
        </row>
        <row r="86">
          <cell r="GP86" t="str">
            <v>Auxiliary Cooling Water Pump</v>
          </cell>
          <cell r="GQ86">
            <v>0</v>
          </cell>
          <cell r="GS86">
            <v>0</v>
          </cell>
          <cell r="GT86">
            <v>0</v>
          </cell>
          <cell r="GV86">
            <v>0</v>
          </cell>
          <cell r="GW86">
            <v>0</v>
          </cell>
          <cell r="GY86">
            <v>0</v>
          </cell>
          <cell r="GZ86">
            <v>0</v>
          </cell>
          <cell r="HB86">
            <v>0</v>
          </cell>
          <cell r="HC86">
            <v>0</v>
          </cell>
          <cell r="HE86">
            <v>0</v>
          </cell>
          <cell r="HF86">
            <v>0</v>
          </cell>
          <cell r="HH86">
            <v>0</v>
          </cell>
          <cell r="HI86">
            <v>0</v>
          </cell>
          <cell r="HK86">
            <v>0</v>
          </cell>
          <cell r="HL86">
            <v>0</v>
          </cell>
          <cell r="HN86">
            <v>0</v>
          </cell>
          <cell r="HO86">
            <v>0</v>
          </cell>
          <cell r="HQ86">
            <v>0</v>
          </cell>
          <cell r="HR86">
            <v>0</v>
          </cell>
          <cell r="HT86">
            <v>0</v>
          </cell>
          <cell r="HU86">
            <v>0</v>
          </cell>
          <cell r="HW86">
            <v>0</v>
          </cell>
          <cell r="HX86">
            <v>0</v>
          </cell>
          <cell r="HZ86">
            <v>0</v>
          </cell>
          <cell r="IA86">
            <v>0</v>
          </cell>
          <cell r="IC86">
            <v>0</v>
          </cell>
          <cell r="ID86">
            <v>0</v>
          </cell>
          <cell r="IF86">
            <v>0</v>
          </cell>
        </row>
        <row r="87">
          <cell r="GP87" t="str">
            <v>Condensate Hotwell Pump</v>
          </cell>
          <cell r="GQ87">
            <v>0</v>
          </cell>
          <cell r="GS87">
            <v>0</v>
          </cell>
          <cell r="GT87">
            <v>0</v>
          </cell>
          <cell r="GV87">
            <v>0</v>
          </cell>
          <cell r="GW87">
            <v>0</v>
          </cell>
          <cell r="GY87">
            <v>0</v>
          </cell>
          <cell r="GZ87">
            <v>0</v>
          </cell>
          <cell r="HB87">
            <v>0</v>
          </cell>
          <cell r="HC87">
            <v>0</v>
          </cell>
          <cell r="HE87">
            <v>0</v>
          </cell>
          <cell r="HF87">
            <v>0</v>
          </cell>
          <cell r="HH87">
            <v>0</v>
          </cell>
          <cell r="HI87">
            <v>0</v>
          </cell>
          <cell r="HK87">
            <v>0</v>
          </cell>
          <cell r="HL87">
            <v>0</v>
          </cell>
          <cell r="HN87">
            <v>0</v>
          </cell>
          <cell r="HO87">
            <v>0</v>
          </cell>
          <cell r="HQ87">
            <v>0</v>
          </cell>
          <cell r="HR87">
            <v>0</v>
          </cell>
          <cell r="HT87">
            <v>0</v>
          </cell>
          <cell r="HU87">
            <v>0</v>
          </cell>
          <cell r="HW87">
            <v>0</v>
          </cell>
          <cell r="HX87">
            <v>0</v>
          </cell>
          <cell r="HZ87">
            <v>0</v>
          </cell>
          <cell r="IA87">
            <v>0</v>
          </cell>
          <cell r="IC87">
            <v>0</v>
          </cell>
          <cell r="ID87">
            <v>0</v>
          </cell>
          <cell r="IF87">
            <v>0</v>
          </cell>
        </row>
        <row r="88">
          <cell r="GP88" t="str">
            <v>Demin Water Forwarding Pump</v>
          </cell>
          <cell r="GQ88">
            <v>0</v>
          </cell>
          <cell r="GS88">
            <v>0</v>
          </cell>
          <cell r="GT88">
            <v>0</v>
          </cell>
          <cell r="GV88">
            <v>0</v>
          </cell>
          <cell r="GW88">
            <v>0</v>
          </cell>
          <cell r="GY88">
            <v>0</v>
          </cell>
          <cell r="GZ88">
            <v>0</v>
          </cell>
          <cell r="HB88">
            <v>0</v>
          </cell>
          <cell r="HC88">
            <v>0</v>
          </cell>
          <cell r="HE88">
            <v>0</v>
          </cell>
          <cell r="HF88">
            <v>0</v>
          </cell>
          <cell r="HH88">
            <v>0</v>
          </cell>
          <cell r="HI88">
            <v>0</v>
          </cell>
          <cell r="HK88">
            <v>0</v>
          </cell>
          <cell r="HL88">
            <v>0</v>
          </cell>
          <cell r="HN88">
            <v>0</v>
          </cell>
          <cell r="HO88">
            <v>0</v>
          </cell>
          <cell r="HQ88">
            <v>0</v>
          </cell>
          <cell r="HR88">
            <v>0</v>
          </cell>
          <cell r="HT88">
            <v>0</v>
          </cell>
          <cell r="HU88">
            <v>0</v>
          </cell>
          <cell r="HW88">
            <v>0</v>
          </cell>
          <cell r="HX88">
            <v>0</v>
          </cell>
          <cell r="HZ88">
            <v>0</v>
          </cell>
          <cell r="IA88">
            <v>0</v>
          </cell>
          <cell r="IC88">
            <v>0</v>
          </cell>
          <cell r="ID88">
            <v>0</v>
          </cell>
          <cell r="IF88">
            <v>0</v>
          </cell>
        </row>
        <row r="89">
          <cell r="GP89" t="str">
            <v>NOx Injection Pumps</v>
          </cell>
          <cell r="GQ89">
            <v>100</v>
          </cell>
          <cell r="GS89">
            <v>100</v>
          </cell>
          <cell r="GT89">
            <v>100</v>
          </cell>
          <cell r="GV89">
            <v>100</v>
          </cell>
          <cell r="GW89">
            <v>100</v>
          </cell>
          <cell r="GY89">
            <v>100</v>
          </cell>
          <cell r="GZ89">
            <v>100</v>
          </cell>
          <cell r="HB89">
            <v>100</v>
          </cell>
          <cell r="HC89">
            <v>100</v>
          </cell>
          <cell r="HE89">
            <v>100</v>
          </cell>
          <cell r="HF89">
            <v>100</v>
          </cell>
          <cell r="HH89">
            <v>100</v>
          </cell>
          <cell r="HI89">
            <v>100</v>
          </cell>
          <cell r="HK89">
            <v>100</v>
          </cell>
          <cell r="HL89">
            <v>100</v>
          </cell>
          <cell r="HN89">
            <v>100</v>
          </cell>
          <cell r="HO89">
            <v>100</v>
          </cell>
          <cell r="HQ89">
            <v>100</v>
          </cell>
          <cell r="HR89">
            <v>100</v>
          </cell>
          <cell r="HT89">
            <v>100</v>
          </cell>
          <cell r="HU89">
            <v>100</v>
          </cell>
          <cell r="HW89">
            <v>100</v>
          </cell>
          <cell r="HX89">
            <v>100</v>
          </cell>
          <cell r="HZ89">
            <v>100</v>
          </cell>
          <cell r="IA89">
            <v>100</v>
          </cell>
          <cell r="IC89">
            <v>100</v>
          </cell>
          <cell r="ID89">
            <v>100</v>
          </cell>
          <cell r="IF89">
            <v>100</v>
          </cell>
        </row>
        <row r="90">
          <cell r="GP90" t="str">
            <v>LP Economizer Recirc Pump</v>
          </cell>
          <cell r="GS90">
            <v>0</v>
          </cell>
          <cell r="GV90">
            <v>0</v>
          </cell>
          <cell r="GY90">
            <v>0</v>
          </cell>
          <cell r="HB90">
            <v>0</v>
          </cell>
          <cell r="HE90">
            <v>0</v>
          </cell>
          <cell r="HH90">
            <v>0</v>
          </cell>
          <cell r="HK90">
            <v>0</v>
          </cell>
          <cell r="HN90">
            <v>0</v>
          </cell>
          <cell r="HQ90">
            <v>0</v>
          </cell>
          <cell r="HT90">
            <v>0</v>
          </cell>
          <cell r="HW90">
            <v>0</v>
          </cell>
          <cell r="HZ90">
            <v>0</v>
          </cell>
          <cell r="IC90">
            <v>0</v>
          </cell>
          <cell r="IF90">
            <v>0</v>
          </cell>
        </row>
        <row r="91">
          <cell r="GP91" t="str">
            <v>Misc. Alloy Pump 1</v>
          </cell>
          <cell r="GQ91">
            <v>0</v>
          </cell>
          <cell r="GS91">
            <v>0</v>
          </cell>
          <cell r="GT91">
            <v>0</v>
          </cell>
          <cell r="GV91">
            <v>0</v>
          </cell>
          <cell r="GW91">
            <v>0</v>
          </cell>
          <cell r="GY91">
            <v>0</v>
          </cell>
          <cell r="GZ91">
            <v>0</v>
          </cell>
          <cell r="HB91">
            <v>0</v>
          </cell>
          <cell r="HC91">
            <v>0</v>
          </cell>
          <cell r="HE91">
            <v>0</v>
          </cell>
          <cell r="HF91">
            <v>0</v>
          </cell>
          <cell r="HH91">
            <v>0</v>
          </cell>
          <cell r="HI91">
            <v>0</v>
          </cell>
          <cell r="HK91">
            <v>0</v>
          </cell>
          <cell r="HL91">
            <v>0</v>
          </cell>
          <cell r="HN91">
            <v>0</v>
          </cell>
          <cell r="HO91">
            <v>0</v>
          </cell>
          <cell r="HQ91">
            <v>0</v>
          </cell>
          <cell r="HR91">
            <v>0</v>
          </cell>
          <cell r="HT91">
            <v>0</v>
          </cell>
          <cell r="HU91">
            <v>0</v>
          </cell>
          <cell r="HW91">
            <v>0</v>
          </cell>
          <cell r="HX91">
            <v>0</v>
          </cell>
          <cell r="HZ91">
            <v>0</v>
          </cell>
          <cell r="IA91">
            <v>0</v>
          </cell>
          <cell r="IC91">
            <v>0</v>
          </cell>
          <cell r="ID91">
            <v>0</v>
          </cell>
          <cell r="IF91">
            <v>0</v>
          </cell>
        </row>
        <row r="92">
          <cell r="GP92" t="str">
            <v>Misc. Alloy Pump 2</v>
          </cell>
          <cell r="GQ92">
            <v>0</v>
          </cell>
          <cell r="GS92">
            <v>0</v>
          </cell>
          <cell r="GT92">
            <v>0</v>
          </cell>
          <cell r="GV92">
            <v>0</v>
          </cell>
          <cell r="GW92">
            <v>0</v>
          </cell>
          <cell r="GY92">
            <v>0</v>
          </cell>
          <cell r="GZ92">
            <v>0</v>
          </cell>
          <cell r="HB92">
            <v>0</v>
          </cell>
          <cell r="HC92">
            <v>0</v>
          </cell>
          <cell r="HE92">
            <v>0</v>
          </cell>
          <cell r="HF92">
            <v>0</v>
          </cell>
          <cell r="HH92">
            <v>0</v>
          </cell>
          <cell r="HI92">
            <v>0</v>
          </cell>
          <cell r="HK92">
            <v>0</v>
          </cell>
          <cell r="HL92">
            <v>0</v>
          </cell>
          <cell r="HN92">
            <v>0</v>
          </cell>
          <cell r="HO92">
            <v>0</v>
          </cell>
          <cell r="HQ92">
            <v>0</v>
          </cell>
          <cell r="HR92">
            <v>0</v>
          </cell>
          <cell r="HT92">
            <v>0</v>
          </cell>
          <cell r="HU92">
            <v>0</v>
          </cell>
          <cell r="HW92">
            <v>0</v>
          </cell>
          <cell r="HX92">
            <v>0</v>
          </cell>
          <cell r="HZ92">
            <v>0</v>
          </cell>
          <cell r="IA92">
            <v>0</v>
          </cell>
          <cell r="IC92">
            <v>0</v>
          </cell>
          <cell r="ID92">
            <v>0</v>
          </cell>
          <cell r="IF92">
            <v>0</v>
          </cell>
        </row>
        <row r="93">
          <cell r="GP93" t="str">
            <v>Misc. Alloy Pump 3</v>
          </cell>
          <cell r="GQ93">
            <v>0</v>
          </cell>
          <cell r="GS93">
            <v>0</v>
          </cell>
          <cell r="GT93">
            <v>0</v>
          </cell>
          <cell r="GV93">
            <v>0</v>
          </cell>
          <cell r="GW93">
            <v>0</v>
          </cell>
          <cell r="GY93">
            <v>0</v>
          </cell>
          <cell r="GZ93">
            <v>0</v>
          </cell>
          <cell r="HB93">
            <v>0</v>
          </cell>
          <cell r="HC93">
            <v>0</v>
          </cell>
          <cell r="HE93">
            <v>0</v>
          </cell>
          <cell r="HF93">
            <v>0</v>
          </cell>
          <cell r="HH93">
            <v>0</v>
          </cell>
          <cell r="HI93">
            <v>0</v>
          </cell>
          <cell r="HK93">
            <v>0</v>
          </cell>
          <cell r="HL93">
            <v>0</v>
          </cell>
          <cell r="HN93">
            <v>0</v>
          </cell>
          <cell r="HO93">
            <v>0</v>
          </cell>
          <cell r="HQ93">
            <v>0</v>
          </cell>
          <cell r="HR93">
            <v>0</v>
          </cell>
          <cell r="HT93">
            <v>0</v>
          </cell>
          <cell r="HU93">
            <v>0</v>
          </cell>
          <cell r="HW93">
            <v>0</v>
          </cell>
          <cell r="HX93">
            <v>0</v>
          </cell>
          <cell r="HZ93">
            <v>0</v>
          </cell>
          <cell r="IA93">
            <v>0</v>
          </cell>
          <cell r="IC93">
            <v>0</v>
          </cell>
          <cell r="ID93">
            <v>0</v>
          </cell>
          <cell r="IF93">
            <v>0</v>
          </cell>
        </row>
        <row r="94">
          <cell r="GP94" t="str">
            <v>BOP Closed Cooling Water Pump</v>
          </cell>
          <cell r="GQ94">
            <v>0</v>
          </cell>
          <cell r="GS94">
            <v>0</v>
          </cell>
          <cell r="GT94">
            <v>0</v>
          </cell>
          <cell r="GV94">
            <v>0</v>
          </cell>
          <cell r="GW94">
            <v>0</v>
          </cell>
          <cell r="GY94">
            <v>0</v>
          </cell>
          <cell r="GZ94">
            <v>0</v>
          </cell>
          <cell r="HB94">
            <v>0</v>
          </cell>
          <cell r="HC94">
            <v>0</v>
          </cell>
          <cell r="HE94">
            <v>0</v>
          </cell>
          <cell r="HF94">
            <v>0</v>
          </cell>
          <cell r="HH94">
            <v>0</v>
          </cell>
          <cell r="HI94">
            <v>0</v>
          </cell>
          <cell r="HK94">
            <v>0</v>
          </cell>
          <cell r="HL94">
            <v>0</v>
          </cell>
          <cell r="HN94">
            <v>0</v>
          </cell>
          <cell r="HO94">
            <v>0</v>
          </cell>
          <cell r="HQ94">
            <v>0</v>
          </cell>
          <cell r="HR94">
            <v>0</v>
          </cell>
          <cell r="HT94">
            <v>0</v>
          </cell>
          <cell r="HU94">
            <v>0</v>
          </cell>
          <cell r="HW94">
            <v>0</v>
          </cell>
          <cell r="HX94">
            <v>0</v>
          </cell>
          <cell r="HZ94">
            <v>0</v>
          </cell>
          <cell r="IA94">
            <v>0</v>
          </cell>
          <cell r="IC94">
            <v>0</v>
          </cell>
          <cell r="ID94">
            <v>0</v>
          </cell>
          <cell r="IF94">
            <v>0</v>
          </cell>
        </row>
        <row r="95">
          <cell r="GP95" t="str">
            <v>Service Water Pump</v>
          </cell>
          <cell r="GQ95">
            <v>100</v>
          </cell>
          <cell r="GS95">
            <v>100</v>
          </cell>
          <cell r="GT95">
            <v>100</v>
          </cell>
          <cell r="GV95">
            <v>100</v>
          </cell>
          <cell r="GW95">
            <v>100</v>
          </cell>
          <cell r="GY95">
            <v>100</v>
          </cell>
          <cell r="GZ95">
            <v>100</v>
          </cell>
          <cell r="HB95">
            <v>100</v>
          </cell>
          <cell r="HC95">
            <v>100</v>
          </cell>
          <cell r="HE95">
            <v>100</v>
          </cell>
          <cell r="HF95">
            <v>100</v>
          </cell>
          <cell r="HH95">
            <v>100</v>
          </cell>
          <cell r="HI95">
            <v>100</v>
          </cell>
          <cell r="HK95">
            <v>100</v>
          </cell>
          <cell r="HL95">
            <v>100</v>
          </cell>
          <cell r="HN95">
            <v>100</v>
          </cell>
          <cell r="HO95">
            <v>100</v>
          </cell>
          <cell r="HQ95">
            <v>100</v>
          </cell>
          <cell r="HR95">
            <v>100</v>
          </cell>
          <cell r="HT95">
            <v>100</v>
          </cell>
          <cell r="HU95">
            <v>100</v>
          </cell>
          <cell r="HW95">
            <v>100</v>
          </cell>
          <cell r="HX95">
            <v>100</v>
          </cell>
          <cell r="HZ95">
            <v>100</v>
          </cell>
          <cell r="IA95">
            <v>100</v>
          </cell>
          <cell r="IC95">
            <v>100</v>
          </cell>
          <cell r="ID95">
            <v>100</v>
          </cell>
          <cell r="IF95">
            <v>100</v>
          </cell>
        </row>
        <row r="96">
          <cell r="GP96" t="str">
            <v>Evap Cooler Makeup Pump</v>
          </cell>
          <cell r="GQ96">
            <v>100</v>
          </cell>
          <cell r="GS96">
            <v>100</v>
          </cell>
          <cell r="GT96">
            <v>100</v>
          </cell>
          <cell r="GV96">
            <v>100</v>
          </cell>
          <cell r="GW96">
            <v>100</v>
          </cell>
          <cell r="GY96">
            <v>100</v>
          </cell>
          <cell r="GZ96">
            <v>100</v>
          </cell>
          <cell r="HB96">
            <v>100</v>
          </cell>
          <cell r="HC96">
            <v>100</v>
          </cell>
          <cell r="HE96">
            <v>100</v>
          </cell>
          <cell r="HF96">
            <v>100</v>
          </cell>
          <cell r="HH96">
            <v>100</v>
          </cell>
          <cell r="HI96">
            <v>100</v>
          </cell>
          <cell r="HK96">
            <v>100</v>
          </cell>
          <cell r="HL96">
            <v>100</v>
          </cell>
          <cell r="HN96">
            <v>100</v>
          </cell>
          <cell r="HO96">
            <v>100</v>
          </cell>
          <cell r="HQ96">
            <v>100</v>
          </cell>
          <cell r="HR96">
            <v>100</v>
          </cell>
          <cell r="HT96">
            <v>100</v>
          </cell>
          <cell r="HU96">
            <v>100</v>
          </cell>
          <cell r="HW96">
            <v>100</v>
          </cell>
          <cell r="HX96">
            <v>100</v>
          </cell>
          <cell r="HZ96">
            <v>100</v>
          </cell>
          <cell r="IA96">
            <v>100</v>
          </cell>
          <cell r="IC96">
            <v>100</v>
          </cell>
          <cell r="ID96">
            <v>100</v>
          </cell>
          <cell r="IF96">
            <v>100</v>
          </cell>
        </row>
        <row r="97">
          <cell r="GP97" t="str">
            <v>Evap Cooler Circ Pump</v>
          </cell>
          <cell r="GQ97">
            <v>0</v>
          </cell>
          <cell r="GS97">
            <v>0</v>
          </cell>
          <cell r="GT97">
            <v>0</v>
          </cell>
          <cell r="GV97">
            <v>0</v>
          </cell>
          <cell r="GW97">
            <v>0</v>
          </cell>
          <cell r="GY97">
            <v>0</v>
          </cell>
          <cell r="GZ97">
            <v>0</v>
          </cell>
          <cell r="HB97">
            <v>0</v>
          </cell>
          <cell r="HC97">
            <v>0</v>
          </cell>
          <cell r="HE97">
            <v>0</v>
          </cell>
          <cell r="HF97">
            <v>0</v>
          </cell>
          <cell r="HH97">
            <v>0</v>
          </cell>
          <cell r="HI97">
            <v>0</v>
          </cell>
          <cell r="HK97">
            <v>0</v>
          </cell>
          <cell r="HL97">
            <v>0</v>
          </cell>
          <cell r="HN97">
            <v>0</v>
          </cell>
          <cell r="HO97">
            <v>0</v>
          </cell>
          <cell r="HQ97">
            <v>0</v>
          </cell>
          <cell r="HR97">
            <v>0</v>
          </cell>
          <cell r="HT97">
            <v>0</v>
          </cell>
          <cell r="HU97">
            <v>0</v>
          </cell>
          <cell r="HW97">
            <v>0</v>
          </cell>
          <cell r="HX97">
            <v>0</v>
          </cell>
          <cell r="HZ97">
            <v>0</v>
          </cell>
          <cell r="IA97">
            <v>0</v>
          </cell>
          <cell r="IC97">
            <v>0</v>
          </cell>
          <cell r="ID97">
            <v>0</v>
          </cell>
          <cell r="IF97">
            <v>0</v>
          </cell>
        </row>
        <row r="98">
          <cell r="GP98" t="str">
            <v>Cooling Tower Makeup Pump</v>
          </cell>
          <cell r="GQ98">
            <v>0</v>
          </cell>
          <cell r="GS98">
            <v>0</v>
          </cell>
          <cell r="GT98">
            <v>0</v>
          </cell>
          <cell r="GV98">
            <v>0</v>
          </cell>
          <cell r="GW98">
            <v>0</v>
          </cell>
          <cell r="GY98">
            <v>0</v>
          </cell>
          <cell r="GZ98">
            <v>0</v>
          </cell>
          <cell r="HB98">
            <v>0</v>
          </cell>
          <cell r="HC98">
            <v>0</v>
          </cell>
          <cell r="HE98">
            <v>0</v>
          </cell>
          <cell r="HF98">
            <v>0</v>
          </cell>
          <cell r="HH98">
            <v>0</v>
          </cell>
          <cell r="HI98">
            <v>0</v>
          </cell>
          <cell r="HK98">
            <v>0</v>
          </cell>
          <cell r="HL98">
            <v>0</v>
          </cell>
          <cell r="HN98">
            <v>0</v>
          </cell>
          <cell r="HO98">
            <v>0</v>
          </cell>
          <cell r="HQ98">
            <v>0</v>
          </cell>
          <cell r="HR98">
            <v>0</v>
          </cell>
          <cell r="HT98">
            <v>0</v>
          </cell>
          <cell r="HU98">
            <v>0</v>
          </cell>
          <cell r="HW98">
            <v>0</v>
          </cell>
          <cell r="HX98">
            <v>0</v>
          </cell>
          <cell r="HZ98">
            <v>0</v>
          </cell>
          <cell r="IA98">
            <v>0</v>
          </cell>
          <cell r="IC98">
            <v>0</v>
          </cell>
          <cell r="ID98">
            <v>0</v>
          </cell>
          <cell r="IF98">
            <v>0</v>
          </cell>
        </row>
        <row r="99">
          <cell r="GP99" t="str">
            <v>Raw Water Pump</v>
          </cell>
          <cell r="GQ99">
            <v>0</v>
          </cell>
          <cell r="GS99">
            <v>0</v>
          </cell>
          <cell r="GT99">
            <v>0</v>
          </cell>
          <cell r="GV99">
            <v>0</v>
          </cell>
          <cell r="GW99">
            <v>0</v>
          </cell>
          <cell r="GY99">
            <v>0</v>
          </cell>
          <cell r="GZ99">
            <v>0</v>
          </cell>
          <cell r="HB99">
            <v>0</v>
          </cell>
          <cell r="HC99">
            <v>0</v>
          </cell>
          <cell r="HE99">
            <v>0</v>
          </cell>
          <cell r="HF99">
            <v>0</v>
          </cell>
          <cell r="HH99">
            <v>0</v>
          </cell>
          <cell r="HI99">
            <v>0</v>
          </cell>
          <cell r="HK99">
            <v>0</v>
          </cell>
          <cell r="HL99">
            <v>0</v>
          </cell>
          <cell r="HN99">
            <v>0</v>
          </cell>
          <cell r="HO99">
            <v>0</v>
          </cell>
          <cell r="HQ99">
            <v>0</v>
          </cell>
          <cell r="HR99">
            <v>0</v>
          </cell>
          <cell r="HT99">
            <v>0</v>
          </cell>
          <cell r="HU99">
            <v>0</v>
          </cell>
          <cell r="HW99">
            <v>0</v>
          </cell>
          <cell r="HX99">
            <v>0</v>
          </cell>
          <cell r="HZ99">
            <v>0</v>
          </cell>
          <cell r="IA99">
            <v>0</v>
          </cell>
          <cell r="IC99">
            <v>0</v>
          </cell>
          <cell r="ID99">
            <v>0</v>
          </cell>
          <cell r="IF99">
            <v>0</v>
          </cell>
        </row>
        <row r="100">
          <cell r="GP100" t="str">
            <v>Fuel Oil Unloading Pump</v>
          </cell>
          <cell r="GQ100">
            <v>100</v>
          </cell>
          <cell r="GS100">
            <v>100</v>
          </cell>
          <cell r="GT100">
            <v>100</v>
          </cell>
          <cell r="GV100">
            <v>100</v>
          </cell>
          <cell r="GW100">
            <v>100</v>
          </cell>
          <cell r="GY100">
            <v>100</v>
          </cell>
          <cell r="GZ100">
            <v>100</v>
          </cell>
          <cell r="HB100">
            <v>100</v>
          </cell>
          <cell r="HC100">
            <v>100</v>
          </cell>
          <cell r="HE100">
            <v>100</v>
          </cell>
          <cell r="HF100">
            <v>100</v>
          </cell>
          <cell r="HH100">
            <v>100</v>
          </cell>
          <cell r="HI100">
            <v>100</v>
          </cell>
          <cell r="HK100">
            <v>100</v>
          </cell>
          <cell r="HL100">
            <v>100</v>
          </cell>
          <cell r="HN100">
            <v>100</v>
          </cell>
          <cell r="HO100">
            <v>100</v>
          </cell>
          <cell r="HQ100">
            <v>100</v>
          </cell>
          <cell r="HR100">
            <v>100</v>
          </cell>
          <cell r="HT100">
            <v>100</v>
          </cell>
          <cell r="HU100">
            <v>100</v>
          </cell>
          <cell r="HW100">
            <v>100</v>
          </cell>
          <cell r="HX100">
            <v>100</v>
          </cell>
          <cell r="HZ100">
            <v>100</v>
          </cell>
          <cell r="IA100">
            <v>100</v>
          </cell>
          <cell r="IC100">
            <v>100</v>
          </cell>
          <cell r="ID100">
            <v>100</v>
          </cell>
          <cell r="IF100">
            <v>100</v>
          </cell>
        </row>
        <row r="101">
          <cell r="GP101" t="str">
            <v>Fuel Oil Forwarding Pump</v>
          </cell>
          <cell r="GQ101">
            <v>0</v>
          </cell>
          <cell r="GS101">
            <v>0</v>
          </cell>
          <cell r="GT101">
            <v>0</v>
          </cell>
          <cell r="GV101">
            <v>0</v>
          </cell>
          <cell r="GW101">
            <v>0</v>
          </cell>
          <cell r="GY101">
            <v>0</v>
          </cell>
          <cell r="GZ101">
            <v>0</v>
          </cell>
          <cell r="HB101">
            <v>0</v>
          </cell>
          <cell r="HC101">
            <v>0</v>
          </cell>
          <cell r="HE101">
            <v>0</v>
          </cell>
          <cell r="HF101">
            <v>0</v>
          </cell>
          <cell r="HH101">
            <v>0</v>
          </cell>
          <cell r="HI101">
            <v>0</v>
          </cell>
          <cell r="HK101">
            <v>0</v>
          </cell>
          <cell r="HL101">
            <v>0</v>
          </cell>
          <cell r="HN101">
            <v>0</v>
          </cell>
          <cell r="HO101">
            <v>0</v>
          </cell>
          <cell r="HQ101">
            <v>0</v>
          </cell>
          <cell r="HR101">
            <v>0</v>
          </cell>
          <cell r="HT101">
            <v>0</v>
          </cell>
          <cell r="HU101">
            <v>0</v>
          </cell>
          <cell r="HW101">
            <v>0</v>
          </cell>
          <cell r="HX101">
            <v>0</v>
          </cell>
          <cell r="HZ101">
            <v>0</v>
          </cell>
          <cell r="IA101">
            <v>0</v>
          </cell>
          <cell r="IC101">
            <v>0</v>
          </cell>
          <cell r="ID101">
            <v>0</v>
          </cell>
          <cell r="IF101">
            <v>0</v>
          </cell>
        </row>
        <row r="102">
          <cell r="GP102" t="str">
            <v>Waste Water Pump</v>
          </cell>
          <cell r="GQ102">
            <v>100</v>
          </cell>
          <cell r="GS102">
            <v>100</v>
          </cell>
          <cell r="GT102">
            <v>100</v>
          </cell>
          <cell r="GV102">
            <v>100</v>
          </cell>
          <cell r="GW102">
            <v>100</v>
          </cell>
          <cell r="GY102">
            <v>100</v>
          </cell>
          <cell r="GZ102">
            <v>100</v>
          </cell>
          <cell r="HB102">
            <v>100</v>
          </cell>
          <cell r="HC102">
            <v>100</v>
          </cell>
          <cell r="HE102">
            <v>100</v>
          </cell>
          <cell r="HF102">
            <v>100</v>
          </cell>
          <cell r="HH102">
            <v>100</v>
          </cell>
          <cell r="HI102">
            <v>100</v>
          </cell>
          <cell r="HK102">
            <v>100</v>
          </cell>
          <cell r="HL102">
            <v>100</v>
          </cell>
          <cell r="HN102">
            <v>100</v>
          </cell>
          <cell r="HO102">
            <v>100</v>
          </cell>
          <cell r="HQ102">
            <v>100</v>
          </cell>
          <cell r="HR102">
            <v>100</v>
          </cell>
          <cell r="HT102">
            <v>100</v>
          </cell>
          <cell r="HU102">
            <v>100</v>
          </cell>
          <cell r="HW102">
            <v>100</v>
          </cell>
          <cell r="HX102">
            <v>100</v>
          </cell>
          <cell r="HZ102">
            <v>100</v>
          </cell>
          <cell r="IA102">
            <v>100</v>
          </cell>
          <cell r="IC102">
            <v>100</v>
          </cell>
          <cell r="ID102">
            <v>100</v>
          </cell>
          <cell r="IF102">
            <v>100</v>
          </cell>
        </row>
        <row r="103">
          <cell r="GP103" t="str">
            <v>RO Feed Pump</v>
          </cell>
          <cell r="GQ103">
            <v>0</v>
          </cell>
          <cell r="GS103">
            <v>0</v>
          </cell>
          <cell r="GT103">
            <v>0</v>
          </cell>
          <cell r="GV103">
            <v>0</v>
          </cell>
          <cell r="GW103">
            <v>0</v>
          </cell>
          <cell r="GY103">
            <v>0</v>
          </cell>
          <cell r="GZ103">
            <v>0</v>
          </cell>
          <cell r="HB103">
            <v>0</v>
          </cell>
          <cell r="HC103">
            <v>0</v>
          </cell>
          <cell r="HE103">
            <v>0</v>
          </cell>
          <cell r="HF103">
            <v>0</v>
          </cell>
          <cell r="HH103">
            <v>0</v>
          </cell>
          <cell r="HI103">
            <v>0</v>
          </cell>
          <cell r="HK103">
            <v>0</v>
          </cell>
          <cell r="HL103">
            <v>0</v>
          </cell>
          <cell r="HN103">
            <v>0</v>
          </cell>
          <cell r="HO103">
            <v>0</v>
          </cell>
          <cell r="HQ103">
            <v>0</v>
          </cell>
          <cell r="HR103">
            <v>0</v>
          </cell>
          <cell r="HT103">
            <v>0</v>
          </cell>
          <cell r="HU103">
            <v>0</v>
          </cell>
          <cell r="HW103">
            <v>0</v>
          </cell>
          <cell r="HX103">
            <v>0</v>
          </cell>
          <cell r="HZ103">
            <v>0</v>
          </cell>
          <cell r="IA103">
            <v>0</v>
          </cell>
          <cell r="IC103">
            <v>0</v>
          </cell>
          <cell r="ID103">
            <v>0</v>
          </cell>
          <cell r="IF103">
            <v>0</v>
          </cell>
        </row>
        <row r="104">
          <cell r="GP104" t="str">
            <v>Demin Feed Pump</v>
          </cell>
          <cell r="GQ104">
            <v>0</v>
          </cell>
          <cell r="GS104">
            <v>0</v>
          </cell>
          <cell r="GT104">
            <v>0</v>
          </cell>
          <cell r="GV104">
            <v>0</v>
          </cell>
          <cell r="GW104">
            <v>0</v>
          </cell>
          <cell r="GY104">
            <v>0</v>
          </cell>
          <cell r="GZ104">
            <v>0</v>
          </cell>
          <cell r="HB104">
            <v>0</v>
          </cell>
          <cell r="HC104">
            <v>0</v>
          </cell>
          <cell r="HE104">
            <v>0</v>
          </cell>
          <cell r="HF104">
            <v>0</v>
          </cell>
          <cell r="HH104">
            <v>0</v>
          </cell>
          <cell r="HI104">
            <v>0</v>
          </cell>
          <cell r="HK104">
            <v>0</v>
          </cell>
          <cell r="HL104">
            <v>0</v>
          </cell>
          <cell r="HN104">
            <v>0</v>
          </cell>
          <cell r="HO104">
            <v>0</v>
          </cell>
          <cell r="HQ104">
            <v>0</v>
          </cell>
          <cell r="HR104">
            <v>0</v>
          </cell>
          <cell r="HT104">
            <v>0</v>
          </cell>
          <cell r="HU104">
            <v>0</v>
          </cell>
          <cell r="HW104">
            <v>0</v>
          </cell>
          <cell r="HX104">
            <v>0</v>
          </cell>
          <cell r="HZ104">
            <v>0</v>
          </cell>
          <cell r="IA104">
            <v>0</v>
          </cell>
          <cell r="IC104">
            <v>0</v>
          </cell>
          <cell r="ID104">
            <v>0</v>
          </cell>
          <cell r="IF104">
            <v>0</v>
          </cell>
        </row>
        <row r="105">
          <cell r="GP105" t="str">
            <v>Plant Aux CCW Pump</v>
          </cell>
          <cell r="GQ105">
            <v>0</v>
          </cell>
          <cell r="GS105">
            <v>0</v>
          </cell>
          <cell r="GT105">
            <v>0</v>
          </cell>
          <cell r="GV105">
            <v>0</v>
          </cell>
          <cell r="GW105">
            <v>0</v>
          </cell>
          <cell r="GY105">
            <v>0</v>
          </cell>
          <cell r="GZ105">
            <v>0</v>
          </cell>
          <cell r="HB105">
            <v>0</v>
          </cell>
          <cell r="HC105">
            <v>0</v>
          </cell>
          <cell r="HE105">
            <v>0</v>
          </cell>
          <cell r="HF105">
            <v>0</v>
          </cell>
          <cell r="HH105">
            <v>0</v>
          </cell>
          <cell r="HI105">
            <v>0</v>
          </cell>
          <cell r="HK105">
            <v>0</v>
          </cell>
          <cell r="HL105">
            <v>0</v>
          </cell>
          <cell r="HN105">
            <v>0</v>
          </cell>
          <cell r="HO105">
            <v>0</v>
          </cell>
          <cell r="HQ105">
            <v>0</v>
          </cell>
          <cell r="HR105">
            <v>0</v>
          </cell>
          <cell r="HT105">
            <v>0</v>
          </cell>
          <cell r="HU105">
            <v>0</v>
          </cell>
          <cell r="HW105">
            <v>0</v>
          </cell>
          <cell r="HX105">
            <v>0</v>
          </cell>
          <cell r="HZ105">
            <v>0</v>
          </cell>
          <cell r="IA105">
            <v>0</v>
          </cell>
          <cell r="IC105">
            <v>0</v>
          </cell>
          <cell r="ID105">
            <v>0</v>
          </cell>
          <cell r="IF105">
            <v>0</v>
          </cell>
        </row>
        <row r="106">
          <cell r="GP106" t="str">
            <v>GTG Aux CCW Pump</v>
          </cell>
          <cell r="GQ106">
            <v>200</v>
          </cell>
          <cell r="GS106">
            <v>200</v>
          </cell>
          <cell r="GT106">
            <v>200</v>
          </cell>
          <cell r="GV106">
            <v>200</v>
          </cell>
          <cell r="GW106">
            <v>200</v>
          </cell>
          <cell r="GY106">
            <v>200</v>
          </cell>
          <cell r="GZ106">
            <v>200</v>
          </cell>
          <cell r="HB106">
            <v>200</v>
          </cell>
          <cell r="HC106">
            <v>200</v>
          </cell>
          <cell r="HE106">
            <v>200</v>
          </cell>
          <cell r="HF106">
            <v>200</v>
          </cell>
          <cell r="HH106">
            <v>200</v>
          </cell>
          <cell r="HI106">
            <v>200</v>
          </cell>
          <cell r="HK106">
            <v>200</v>
          </cell>
          <cell r="HL106">
            <v>200</v>
          </cell>
          <cell r="HN106">
            <v>200</v>
          </cell>
          <cell r="HO106">
            <v>200</v>
          </cell>
          <cell r="HQ106">
            <v>200</v>
          </cell>
          <cell r="HR106">
            <v>200</v>
          </cell>
          <cell r="HT106">
            <v>200</v>
          </cell>
          <cell r="HU106">
            <v>200</v>
          </cell>
          <cell r="HW106">
            <v>200</v>
          </cell>
          <cell r="HX106">
            <v>200</v>
          </cell>
          <cell r="HZ106">
            <v>200</v>
          </cell>
          <cell r="IA106">
            <v>200</v>
          </cell>
          <cell r="IC106">
            <v>200</v>
          </cell>
          <cell r="ID106">
            <v>200</v>
          </cell>
          <cell r="IF106">
            <v>200</v>
          </cell>
        </row>
        <row r="107">
          <cell r="GP107" t="str">
            <v>User Defined</v>
          </cell>
          <cell r="GQ107">
            <v>0</v>
          </cell>
          <cell r="GS107">
            <v>0</v>
          </cell>
          <cell r="GT107">
            <v>0</v>
          </cell>
          <cell r="GV107">
            <v>0</v>
          </cell>
          <cell r="GW107">
            <v>0</v>
          </cell>
          <cell r="GY107">
            <v>0</v>
          </cell>
          <cell r="GZ107">
            <v>0</v>
          </cell>
          <cell r="HB107">
            <v>0</v>
          </cell>
          <cell r="HC107">
            <v>0</v>
          </cell>
          <cell r="HE107">
            <v>0</v>
          </cell>
          <cell r="HF107">
            <v>0</v>
          </cell>
          <cell r="HH107">
            <v>0</v>
          </cell>
          <cell r="HI107">
            <v>0</v>
          </cell>
          <cell r="HK107">
            <v>0</v>
          </cell>
          <cell r="HL107">
            <v>0</v>
          </cell>
          <cell r="HN107">
            <v>0</v>
          </cell>
          <cell r="HO107">
            <v>0</v>
          </cell>
          <cell r="HQ107">
            <v>0</v>
          </cell>
          <cell r="HR107">
            <v>0</v>
          </cell>
          <cell r="HT107">
            <v>0</v>
          </cell>
          <cell r="HU107">
            <v>0</v>
          </cell>
          <cell r="HW107">
            <v>0</v>
          </cell>
          <cell r="HX107">
            <v>0</v>
          </cell>
          <cell r="HZ107">
            <v>0</v>
          </cell>
          <cell r="IA107">
            <v>0</v>
          </cell>
          <cell r="IC107">
            <v>0</v>
          </cell>
          <cell r="ID107">
            <v>0</v>
          </cell>
          <cell r="IF107">
            <v>0</v>
          </cell>
        </row>
        <row r="108">
          <cell r="GP108" t="str">
            <v>Blowdown Sump Pump</v>
          </cell>
          <cell r="GQ108">
            <v>0</v>
          </cell>
          <cell r="GS108">
            <v>0</v>
          </cell>
          <cell r="GT108">
            <v>0</v>
          </cell>
          <cell r="GV108">
            <v>0</v>
          </cell>
          <cell r="GW108">
            <v>0</v>
          </cell>
          <cell r="GY108">
            <v>0</v>
          </cell>
          <cell r="GZ108">
            <v>0</v>
          </cell>
          <cell r="HB108">
            <v>0</v>
          </cell>
          <cell r="HC108">
            <v>0</v>
          </cell>
          <cell r="HE108">
            <v>0</v>
          </cell>
          <cell r="HF108">
            <v>0</v>
          </cell>
          <cell r="HH108">
            <v>0</v>
          </cell>
          <cell r="HI108">
            <v>0</v>
          </cell>
          <cell r="HK108">
            <v>0</v>
          </cell>
          <cell r="HL108">
            <v>0</v>
          </cell>
          <cell r="HN108">
            <v>0</v>
          </cell>
          <cell r="HO108">
            <v>0</v>
          </cell>
          <cell r="HQ108">
            <v>0</v>
          </cell>
          <cell r="HR108">
            <v>0</v>
          </cell>
          <cell r="HT108">
            <v>0</v>
          </cell>
          <cell r="HU108">
            <v>0</v>
          </cell>
          <cell r="HW108">
            <v>0</v>
          </cell>
          <cell r="HX108">
            <v>0</v>
          </cell>
          <cell r="HZ108">
            <v>0</v>
          </cell>
          <cell r="IA108">
            <v>0</v>
          </cell>
          <cell r="IC108">
            <v>0</v>
          </cell>
          <cell r="ID108">
            <v>0</v>
          </cell>
          <cell r="IF108">
            <v>0</v>
          </cell>
        </row>
        <row r="109">
          <cell r="GP109" t="str">
            <v>Chemical Sump Pump</v>
          </cell>
          <cell r="GQ109">
            <v>0</v>
          </cell>
          <cell r="GS109">
            <v>0</v>
          </cell>
          <cell r="GT109">
            <v>0</v>
          </cell>
          <cell r="GV109">
            <v>0</v>
          </cell>
          <cell r="GW109">
            <v>0</v>
          </cell>
          <cell r="GY109">
            <v>0</v>
          </cell>
          <cell r="GZ109">
            <v>0</v>
          </cell>
          <cell r="HB109">
            <v>0</v>
          </cell>
          <cell r="HC109">
            <v>0</v>
          </cell>
          <cell r="HE109">
            <v>0</v>
          </cell>
          <cell r="HF109">
            <v>0</v>
          </cell>
          <cell r="HH109">
            <v>0</v>
          </cell>
          <cell r="HI109">
            <v>0</v>
          </cell>
          <cell r="HK109">
            <v>0</v>
          </cell>
          <cell r="HL109">
            <v>0</v>
          </cell>
          <cell r="HN109">
            <v>0</v>
          </cell>
          <cell r="HO109">
            <v>0</v>
          </cell>
          <cell r="HQ109">
            <v>0</v>
          </cell>
          <cell r="HR109">
            <v>0</v>
          </cell>
          <cell r="HT109">
            <v>0</v>
          </cell>
          <cell r="HU109">
            <v>0</v>
          </cell>
          <cell r="HW109">
            <v>0</v>
          </cell>
          <cell r="HX109">
            <v>0</v>
          </cell>
          <cell r="HZ109">
            <v>0</v>
          </cell>
          <cell r="IA109">
            <v>0</v>
          </cell>
          <cell r="IC109">
            <v>0</v>
          </cell>
          <cell r="ID109">
            <v>0</v>
          </cell>
          <cell r="IF109">
            <v>0</v>
          </cell>
        </row>
        <row r="110">
          <cell r="GP110" t="str">
            <v>Recycle Water Sump Pump</v>
          </cell>
          <cell r="GQ110">
            <v>0</v>
          </cell>
          <cell r="GS110">
            <v>0</v>
          </cell>
          <cell r="GT110">
            <v>0</v>
          </cell>
          <cell r="GV110">
            <v>0</v>
          </cell>
          <cell r="GW110">
            <v>0</v>
          </cell>
          <cell r="GY110">
            <v>0</v>
          </cell>
          <cell r="GZ110">
            <v>0</v>
          </cell>
          <cell r="HB110">
            <v>0</v>
          </cell>
          <cell r="HC110">
            <v>0</v>
          </cell>
          <cell r="HE110">
            <v>0</v>
          </cell>
          <cell r="HF110">
            <v>0</v>
          </cell>
          <cell r="HH110">
            <v>0</v>
          </cell>
          <cell r="HI110">
            <v>0</v>
          </cell>
          <cell r="HK110">
            <v>0</v>
          </cell>
          <cell r="HL110">
            <v>0</v>
          </cell>
          <cell r="HN110">
            <v>0</v>
          </cell>
          <cell r="HO110">
            <v>0</v>
          </cell>
          <cell r="HQ110">
            <v>0</v>
          </cell>
          <cell r="HR110">
            <v>0</v>
          </cell>
          <cell r="HT110">
            <v>0</v>
          </cell>
          <cell r="HU110">
            <v>0</v>
          </cell>
          <cell r="HW110">
            <v>0</v>
          </cell>
          <cell r="HX110">
            <v>0</v>
          </cell>
          <cell r="HZ110">
            <v>0</v>
          </cell>
          <cell r="IA110">
            <v>0</v>
          </cell>
          <cell r="IC110">
            <v>0</v>
          </cell>
          <cell r="ID110">
            <v>0</v>
          </cell>
          <cell r="IF110">
            <v>0</v>
          </cell>
        </row>
        <row r="111">
          <cell r="GP111" t="str">
            <v>Oily Water Sump Pump</v>
          </cell>
          <cell r="GQ111">
            <v>0</v>
          </cell>
          <cell r="GS111">
            <v>0</v>
          </cell>
          <cell r="GT111">
            <v>0</v>
          </cell>
          <cell r="GV111">
            <v>0</v>
          </cell>
          <cell r="GW111">
            <v>0</v>
          </cell>
          <cell r="GY111">
            <v>0</v>
          </cell>
          <cell r="GZ111">
            <v>0</v>
          </cell>
          <cell r="HB111">
            <v>0</v>
          </cell>
          <cell r="HC111">
            <v>0</v>
          </cell>
          <cell r="HE111">
            <v>0</v>
          </cell>
          <cell r="HF111">
            <v>0</v>
          </cell>
          <cell r="HH111">
            <v>0</v>
          </cell>
          <cell r="HI111">
            <v>0</v>
          </cell>
          <cell r="HK111">
            <v>0</v>
          </cell>
          <cell r="HL111">
            <v>0</v>
          </cell>
          <cell r="HN111">
            <v>0</v>
          </cell>
          <cell r="HO111">
            <v>0</v>
          </cell>
          <cell r="HQ111">
            <v>0</v>
          </cell>
          <cell r="HR111">
            <v>0</v>
          </cell>
          <cell r="HT111">
            <v>0</v>
          </cell>
          <cell r="HU111">
            <v>0</v>
          </cell>
          <cell r="HW111">
            <v>0</v>
          </cell>
          <cell r="HX111">
            <v>0</v>
          </cell>
          <cell r="HZ111">
            <v>0</v>
          </cell>
          <cell r="IA111">
            <v>0</v>
          </cell>
          <cell r="IC111">
            <v>0</v>
          </cell>
          <cell r="ID111">
            <v>0</v>
          </cell>
          <cell r="IF111">
            <v>0</v>
          </cell>
        </row>
        <row r="112">
          <cell r="GP112" t="str">
            <v>Misc Sump Pump 1</v>
          </cell>
          <cell r="GQ112">
            <v>0</v>
          </cell>
          <cell r="GS112">
            <v>0</v>
          </cell>
          <cell r="GT112">
            <v>0</v>
          </cell>
          <cell r="GV112">
            <v>0</v>
          </cell>
          <cell r="GW112">
            <v>0</v>
          </cell>
          <cell r="GY112">
            <v>0</v>
          </cell>
          <cell r="GZ112">
            <v>0</v>
          </cell>
          <cell r="HB112">
            <v>0</v>
          </cell>
          <cell r="HC112">
            <v>0</v>
          </cell>
          <cell r="HE112">
            <v>0</v>
          </cell>
          <cell r="HF112">
            <v>0</v>
          </cell>
          <cell r="HH112">
            <v>0</v>
          </cell>
          <cell r="HI112">
            <v>0</v>
          </cell>
          <cell r="HK112">
            <v>0</v>
          </cell>
          <cell r="HL112">
            <v>0</v>
          </cell>
          <cell r="HN112">
            <v>0</v>
          </cell>
          <cell r="HO112">
            <v>0</v>
          </cell>
          <cell r="HQ112">
            <v>0</v>
          </cell>
          <cell r="HR112">
            <v>0</v>
          </cell>
          <cell r="HT112">
            <v>0</v>
          </cell>
          <cell r="HU112">
            <v>0</v>
          </cell>
          <cell r="HW112">
            <v>0</v>
          </cell>
          <cell r="HX112">
            <v>0</v>
          </cell>
          <cell r="HZ112">
            <v>0</v>
          </cell>
          <cell r="IA112">
            <v>0</v>
          </cell>
          <cell r="IC112">
            <v>0</v>
          </cell>
          <cell r="ID112">
            <v>0</v>
          </cell>
          <cell r="IF112">
            <v>0</v>
          </cell>
        </row>
        <row r="113">
          <cell r="GP113" t="str">
            <v>Misc Sump Pump 2</v>
          </cell>
          <cell r="GQ113">
            <v>0</v>
          </cell>
          <cell r="GS113">
            <v>0</v>
          </cell>
          <cell r="GT113">
            <v>0</v>
          </cell>
          <cell r="GV113">
            <v>0</v>
          </cell>
          <cell r="GW113">
            <v>0</v>
          </cell>
          <cell r="GY113">
            <v>0</v>
          </cell>
          <cell r="GZ113">
            <v>0</v>
          </cell>
          <cell r="HB113">
            <v>0</v>
          </cell>
          <cell r="HC113">
            <v>0</v>
          </cell>
          <cell r="HE113">
            <v>0</v>
          </cell>
          <cell r="HF113">
            <v>0</v>
          </cell>
          <cell r="HH113">
            <v>0</v>
          </cell>
          <cell r="HI113">
            <v>0</v>
          </cell>
          <cell r="HK113">
            <v>0</v>
          </cell>
          <cell r="HL113">
            <v>0</v>
          </cell>
          <cell r="HN113">
            <v>0</v>
          </cell>
          <cell r="HO113">
            <v>0</v>
          </cell>
          <cell r="HQ113">
            <v>0</v>
          </cell>
          <cell r="HR113">
            <v>0</v>
          </cell>
          <cell r="HT113">
            <v>0</v>
          </cell>
          <cell r="HU113">
            <v>0</v>
          </cell>
          <cell r="HW113">
            <v>0</v>
          </cell>
          <cell r="HX113">
            <v>0</v>
          </cell>
          <cell r="HZ113">
            <v>0</v>
          </cell>
          <cell r="IA113">
            <v>0</v>
          </cell>
          <cell r="IC113">
            <v>0</v>
          </cell>
          <cell r="ID113">
            <v>0</v>
          </cell>
          <cell r="IF113">
            <v>0</v>
          </cell>
        </row>
        <row r="114">
          <cell r="GP114" t="str">
            <v>Misc Sump Pump 3</v>
          </cell>
          <cell r="GQ114">
            <v>0</v>
          </cell>
          <cell r="GS114">
            <v>0</v>
          </cell>
          <cell r="GT114">
            <v>0</v>
          </cell>
          <cell r="GV114">
            <v>0</v>
          </cell>
          <cell r="GW114">
            <v>0</v>
          </cell>
          <cell r="GY114">
            <v>0</v>
          </cell>
          <cell r="GZ114">
            <v>0</v>
          </cell>
          <cell r="HB114">
            <v>0</v>
          </cell>
          <cell r="HC114">
            <v>0</v>
          </cell>
          <cell r="HE114">
            <v>0</v>
          </cell>
          <cell r="HF114">
            <v>0</v>
          </cell>
          <cell r="HH114">
            <v>0</v>
          </cell>
          <cell r="HI114">
            <v>0</v>
          </cell>
          <cell r="HK114">
            <v>0</v>
          </cell>
          <cell r="HL114">
            <v>0</v>
          </cell>
          <cell r="HN114">
            <v>0</v>
          </cell>
          <cell r="HO114">
            <v>0</v>
          </cell>
          <cell r="HQ114">
            <v>0</v>
          </cell>
          <cell r="HR114">
            <v>0</v>
          </cell>
          <cell r="HT114">
            <v>0</v>
          </cell>
          <cell r="HU114">
            <v>0</v>
          </cell>
          <cell r="HW114">
            <v>0</v>
          </cell>
          <cell r="HX114">
            <v>0</v>
          </cell>
          <cell r="HZ114">
            <v>0</v>
          </cell>
          <cell r="IA114">
            <v>0</v>
          </cell>
          <cell r="IC114">
            <v>0</v>
          </cell>
          <cell r="ID114">
            <v>0</v>
          </cell>
          <cell r="IF114">
            <v>0</v>
          </cell>
        </row>
        <row r="115">
          <cell r="GP115" t="str">
            <v>Raw Water Storage Tank</v>
          </cell>
          <cell r="GQ115">
            <v>0</v>
          </cell>
          <cell r="GS115">
            <v>0</v>
          </cell>
          <cell r="GT115">
            <v>0</v>
          </cell>
          <cell r="GV115">
            <v>0</v>
          </cell>
          <cell r="GW115">
            <v>0</v>
          </cell>
          <cell r="GY115">
            <v>0</v>
          </cell>
          <cell r="GZ115">
            <v>0</v>
          </cell>
          <cell r="HB115">
            <v>0</v>
          </cell>
          <cell r="HC115">
            <v>0</v>
          </cell>
          <cell r="HE115">
            <v>0</v>
          </cell>
          <cell r="HF115">
            <v>0</v>
          </cell>
          <cell r="HH115">
            <v>0</v>
          </cell>
          <cell r="HI115">
            <v>0</v>
          </cell>
          <cell r="HK115">
            <v>0</v>
          </cell>
          <cell r="HL115">
            <v>0</v>
          </cell>
          <cell r="HN115">
            <v>0</v>
          </cell>
          <cell r="HO115">
            <v>0</v>
          </cell>
          <cell r="HQ115">
            <v>0</v>
          </cell>
          <cell r="HR115">
            <v>0</v>
          </cell>
          <cell r="HT115">
            <v>0</v>
          </cell>
          <cell r="HU115">
            <v>0</v>
          </cell>
          <cell r="HW115">
            <v>0</v>
          </cell>
          <cell r="HX115">
            <v>0</v>
          </cell>
          <cell r="HZ115">
            <v>0</v>
          </cell>
          <cell r="IA115">
            <v>0</v>
          </cell>
          <cell r="IC115">
            <v>0</v>
          </cell>
          <cell r="ID115">
            <v>0</v>
          </cell>
          <cell r="IF115">
            <v>0</v>
          </cell>
        </row>
        <row r="116">
          <cell r="GP116" t="str">
            <v>Treated / Fire Water Storage Tank</v>
          </cell>
          <cell r="GQ116">
            <v>0</v>
          </cell>
          <cell r="GS116">
            <v>0</v>
          </cell>
          <cell r="GT116">
            <v>0</v>
          </cell>
          <cell r="GV116">
            <v>0</v>
          </cell>
          <cell r="GW116">
            <v>0</v>
          </cell>
          <cell r="GY116">
            <v>0</v>
          </cell>
          <cell r="GZ116">
            <v>0</v>
          </cell>
          <cell r="HB116">
            <v>0</v>
          </cell>
          <cell r="HC116">
            <v>0</v>
          </cell>
          <cell r="HE116">
            <v>0</v>
          </cell>
          <cell r="HF116">
            <v>0</v>
          </cell>
          <cell r="HH116">
            <v>0</v>
          </cell>
          <cell r="HI116">
            <v>0</v>
          </cell>
          <cell r="HK116">
            <v>0</v>
          </cell>
          <cell r="HL116">
            <v>0</v>
          </cell>
          <cell r="HN116">
            <v>0</v>
          </cell>
          <cell r="HO116">
            <v>0</v>
          </cell>
          <cell r="HQ116">
            <v>0</v>
          </cell>
          <cell r="HR116">
            <v>0</v>
          </cell>
          <cell r="HT116">
            <v>0</v>
          </cell>
          <cell r="HU116">
            <v>0</v>
          </cell>
          <cell r="HW116">
            <v>0</v>
          </cell>
          <cell r="HX116">
            <v>0</v>
          </cell>
          <cell r="HZ116">
            <v>0</v>
          </cell>
          <cell r="IA116">
            <v>0</v>
          </cell>
          <cell r="IC116">
            <v>0</v>
          </cell>
          <cell r="ID116">
            <v>0</v>
          </cell>
          <cell r="IF116">
            <v>0</v>
          </cell>
        </row>
        <row r="117">
          <cell r="GP117" t="str">
            <v>RO Product Storage Tank</v>
          </cell>
          <cell r="GQ117">
            <v>0</v>
          </cell>
          <cell r="GS117">
            <v>0</v>
          </cell>
          <cell r="GT117">
            <v>0</v>
          </cell>
          <cell r="GV117">
            <v>0</v>
          </cell>
          <cell r="GW117">
            <v>0</v>
          </cell>
          <cell r="GY117">
            <v>0</v>
          </cell>
          <cell r="GZ117">
            <v>0</v>
          </cell>
          <cell r="HB117">
            <v>0</v>
          </cell>
          <cell r="HC117">
            <v>0</v>
          </cell>
          <cell r="HE117">
            <v>0</v>
          </cell>
          <cell r="HF117">
            <v>0</v>
          </cell>
          <cell r="HH117">
            <v>0</v>
          </cell>
          <cell r="HI117">
            <v>0</v>
          </cell>
          <cell r="HK117">
            <v>0</v>
          </cell>
          <cell r="HL117">
            <v>0</v>
          </cell>
          <cell r="HN117">
            <v>0</v>
          </cell>
          <cell r="HO117">
            <v>0</v>
          </cell>
          <cell r="HQ117">
            <v>0</v>
          </cell>
          <cell r="HR117">
            <v>0</v>
          </cell>
          <cell r="HT117">
            <v>0</v>
          </cell>
          <cell r="HU117">
            <v>0</v>
          </cell>
          <cell r="HW117">
            <v>0</v>
          </cell>
          <cell r="HX117">
            <v>0</v>
          </cell>
          <cell r="HZ117">
            <v>0</v>
          </cell>
          <cell r="IA117">
            <v>0</v>
          </cell>
          <cell r="IC117">
            <v>0</v>
          </cell>
          <cell r="ID117">
            <v>0</v>
          </cell>
          <cell r="IF117">
            <v>0</v>
          </cell>
        </row>
        <row r="118">
          <cell r="GP118" t="str">
            <v>Single-Wall Fuel Oil Storage Tank</v>
          </cell>
          <cell r="GQ118">
            <v>0</v>
          </cell>
          <cell r="GS118">
            <v>0</v>
          </cell>
          <cell r="GT118">
            <v>0</v>
          </cell>
          <cell r="GV118">
            <v>0</v>
          </cell>
          <cell r="GW118">
            <v>0</v>
          </cell>
          <cell r="GY118">
            <v>0</v>
          </cell>
          <cell r="GZ118">
            <v>0</v>
          </cell>
          <cell r="HB118">
            <v>0</v>
          </cell>
          <cell r="HC118">
            <v>0</v>
          </cell>
          <cell r="HE118">
            <v>0</v>
          </cell>
          <cell r="HF118">
            <v>0</v>
          </cell>
          <cell r="HH118">
            <v>0</v>
          </cell>
          <cell r="HI118">
            <v>0</v>
          </cell>
          <cell r="HK118">
            <v>0</v>
          </cell>
          <cell r="HL118">
            <v>0</v>
          </cell>
          <cell r="HN118">
            <v>0</v>
          </cell>
          <cell r="HO118">
            <v>0</v>
          </cell>
          <cell r="HQ118">
            <v>0</v>
          </cell>
          <cell r="HR118">
            <v>0</v>
          </cell>
          <cell r="HT118">
            <v>0</v>
          </cell>
          <cell r="HU118">
            <v>0</v>
          </cell>
          <cell r="HW118">
            <v>0</v>
          </cell>
          <cell r="HX118">
            <v>0</v>
          </cell>
          <cell r="HZ118">
            <v>0</v>
          </cell>
          <cell r="IA118">
            <v>0</v>
          </cell>
          <cell r="IC118">
            <v>0</v>
          </cell>
          <cell r="ID118">
            <v>0</v>
          </cell>
          <cell r="IF118">
            <v>0</v>
          </cell>
        </row>
        <row r="119">
          <cell r="GP119" t="str">
            <v>Misc Field Erected Tank 1</v>
          </cell>
          <cell r="GQ119">
            <v>0</v>
          </cell>
          <cell r="GS119">
            <v>0</v>
          </cell>
          <cell r="GT119">
            <v>0</v>
          </cell>
          <cell r="GV119">
            <v>0</v>
          </cell>
          <cell r="GW119">
            <v>0</v>
          </cell>
          <cell r="GY119">
            <v>0</v>
          </cell>
          <cell r="GZ119">
            <v>0</v>
          </cell>
          <cell r="HB119">
            <v>0</v>
          </cell>
          <cell r="HC119">
            <v>0</v>
          </cell>
          <cell r="HE119">
            <v>0</v>
          </cell>
          <cell r="HF119">
            <v>0</v>
          </cell>
          <cell r="HH119">
            <v>0</v>
          </cell>
          <cell r="HI119">
            <v>0</v>
          </cell>
          <cell r="HK119">
            <v>0</v>
          </cell>
          <cell r="HL119">
            <v>0</v>
          </cell>
          <cell r="HN119">
            <v>0</v>
          </cell>
          <cell r="HO119">
            <v>0</v>
          </cell>
          <cell r="HQ119">
            <v>0</v>
          </cell>
          <cell r="HR119">
            <v>0</v>
          </cell>
          <cell r="HT119">
            <v>0</v>
          </cell>
          <cell r="HU119">
            <v>0</v>
          </cell>
          <cell r="HW119">
            <v>0</v>
          </cell>
          <cell r="HX119">
            <v>0</v>
          </cell>
          <cell r="HZ119">
            <v>0</v>
          </cell>
          <cell r="IA119">
            <v>0</v>
          </cell>
          <cell r="IC119">
            <v>0</v>
          </cell>
          <cell r="ID119">
            <v>0</v>
          </cell>
          <cell r="IF119">
            <v>0</v>
          </cell>
        </row>
        <row r="120">
          <cell r="GP120" t="str">
            <v>Misc Field Erected Tank 2</v>
          </cell>
          <cell r="GQ120">
            <v>0</v>
          </cell>
          <cell r="GS120">
            <v>0</v>
          </cell>
          <cell r="GT120">
            <v>0</v>
          </cell>
          <cell r="GV120">
            <v>0</v>
          </cell>
          <cell r="GW120">
            <v>0</v>
          </cell>
          <cell r="GY120">
            <v>0</v>
          </cell>
          <cell r="GZ120">
            <v>0</v>
          </cell>
          <cell r="HB120">
            <v>0</v>
          </cell>
          <cell r="HC120">
            <v>0</v>
          </cell>
          <cell r="HE120">
            <v>0</v>
          </cell>
          <cell r="HF120">
            <v>0</v>
          </cell>
          <cell r="HH120">
            <v>0</v>
          </cell>
          <cell r="HI120">
            <v>0</v>
          </cell>
          <cell r="HK120">
            <v>0</v>
          </cell>
          <cell r="HL120">
            <v>0</v>
          </cell>
          <cell r="HN120">
            <v>0</v>
          </cell>
          <cell r="HO120">
            <v>0</v>
          </cell>
          <cell r="HQ120">
            <v>0</v>
          </cell>
          <cell r="HR120">
            <v>0</v>
          </cell>
          <cell r="HT120">
            <v>0</v>
          </cell>
          <cell r="HU120">
            <v>0</v>
          </cell>
          <cell r="HW120">
            <v>0</v>
          </cell>
          <cell r="HX120">
            <v>0</v>
          </cell>
          <cell r="HZ120">
            <v>0</v>
          </cell>
          <cell r="IA120">
            <v>0</v>
          </cell>
          <cell r="IC120">
            <v>0</v>
          </cell>
          <cell r="ID120">
            <v>0</v>
          </cell>
          <cell r="IF120">
            <v>0</v>
          </cell>
        </row>
        <row r="121">
          <cell r="GP121" t="str">
            <v>Misc Field Erected Tank 3</v>
          </cell>
          <cell r="GQ121">
            <v>0</v>
          </cell>
          <cell r="GS121">
            <v>0</v>
          </cell>
          <cell r="GT121">
            <v>0</v>
          </cell>
          <cell r="GV121">
            <v>0</v>
          </cell>
          <cell r="GW121">
            <v>0</v>
          </cell>
          <cell r="GY121">
            <v>0</v>
          </cell>
          <cell r="GZ121">
            <v>0</v>
          </cell>
          <cell r="HB121">
            <v>0</v>
          </cell>
          <cell r="HC121">
            <v>0</v>
          </cell>
          <cell r="HE121">
            <v>0</v>
          </cell>
          <cell r="HF121">
            <v>0</v>
          </cell>
          <cell r="HH121">
            <v>0</v>
          </cell>
          <cell r="HI121">
            <v>0</v>
          </cell>
          <cell r="HK121">
            <v>0</v>
          </cell>
          <cell r="HL121">
            <v>0</v>
          </cell>
          <cell r="HN121">
            <v>0</v>
          </cell>
          <cell r="HO121">
            <v>0</v>
          </cell>
          <cell r="HQ121">
            <v>0</v>
          </cell>
          <cell r="HR121">
            <v>0</v>
          </cell>
          <cell r="HT121">
            <v>0</v>
          </cell>
          <cell r="HU121">
            <v>0</v>
          </cell>
          <cell r="HW121">
            <v>0</v>
          </cell>
          <cell r="HX121">
            <v>0</v>
          </cell>
          <cell r="HZ121">
            <v>0</v>
          </cell>
          <cell r="IA121">
            <v>0</v>
          </cell>
          <cell r="IC121">
            <v>0</v>
          </cell>
          <cell r="ID121">
            <v>0</v>
          </cell>
          <cell r="IF121">
            <v>0</v>
          </cell>
        </row>
        <row r="122">
          <cell r="GP122" t="str">
            <v>Double Wall Fuel Oil Storage Tank</v>
          </cell>
          <cell r="GQ122">
            <v>0</v>
          </cell>
          <cell r="GS122">
            <v>0</v>
          </cell>
          <cell r="GT122">
            <v>0</v>
          </cell>
          <cell r="GV122">
            <v>0</v>
          </cell>
          <cell r="GW122">
            <v>0</v>
          </cell>
          <cell r="GY122">
            <v>0</v>
          </cell>
          <cell r="GZ122">
            <v>0</v>
          </cell>
          <cell r="HB122">
            <v>0</v>
          </cell>
          <cell r="HC122">
            <v>0</v>
          </cell>
          <cell r="HE122">
            <v>0</v>
          </cell>
          <cell r="HF122">
            <v>0</v>
          </cell>
          <cell r="HH122">
            <v>0</v>
          </cell>
          <cell r="HI122">
            <v>0</v>
          </cell>
          <cell r="HK122">
            <v>0</v>
          </cell>
          <cell r="HL122">
            <v>0</v>
          </cell>
          <cell r="HN122">
            <v>0</v>
          </cell>
          <cell r="HO122">
            <v>0</v>
          </cell>
          <cell r="HQ122">
            <v>0</v>
          </cell>
          <cell r="HR122">
            <v>0</v>
          </cell>
          <cell r="HT122">
            <v>0</v>
          </cell>
          <cell r="HU122">
            <v>0</v>
          </cell>
          <cell r="HW122">
            <v>0</v>
          </cell>
          <cell r="HX122">
            <v>0</v>
          </cell>
          <cell r="HZ122">
            <v>0</v>
          </cell>
          <cell r="IA122">
            <v>0</v>
          </cell>
          <cell r="IC122">
            <v>0</v>
          </cell>
          <cell r="ID122">
            <v>0</v>
          </cell>
          <cell r="IF122">
            <v>0</v>
          </cell>
        </row>
        <row r="123">
          <cell r="GP123" t="str">
            <v>Misc Double Wall Tank 1</v>
          </cell>
          <cell r="GQ123">
            <v>0</v>
          </cell>
          <cell r="GS123">
            <v>0</v>
          </cell>
          <cell r="GT123">
            <v>0</v>
          </cell>
          <cell r="GV123">
            <v>0</v>
          </cell>
          <cell r="GW123">
            <v>0</v>
          </cell>
          <cell r="GY123">
            <v>0</v>
          </cell>
          <cell r="GZ123">
            <v>0</v>
          </cell>
          <cell r="HB123">
            <v>0</v>
          </cell>
          <cell r="HC123">
            <v>0</v>
          </cell>
          <cell r="HE123">
            <v>0</v>
          </cell>
          <cell r="HF123">
            <v>0</v>
          </cell>
          <cell r="HH123">
            <v>0</v>
          </cell>
          <cell r="HI123">
            <v>0</v>
          </cell>
          <cell r="HK123">
            <v>0</v>
          </cell>
          <cell r="HL123">
            <v>0</v>
          </cell>
          <cell r="HN123">
            <v>0</v>
          </cell>
          <cell r="HO123">
            <v>0</v>
          </cell>
          <cell r="HQ123">
            <v>0</v>
          </cell>
          <cell r="HR123">
            <v>0</v>
          </cell>
          <cell r="HT123">
            <v>0</v>
          </cell>
          <cell r="HU123">
            <v>0</v>
          </cell>
          <cell r="HW123">
            <v>0</v>
          </cell>
          <cell r="HX123">
            <v>0</v>
          </cell>
          <cell r="HZ123">
            <v>0</v>
          </cell>
          <cell r="IA123">
            <v>0</v>
          </cell>
          <cell r="IC123">
            <v>0</v>
          </cell>
          <cell r="ID123">
            <v>0</v>
          </cell>
          <cell r="IF123">
            <v>0</v>
          </cell>
        </row>
        <row r="124">
          <cell r="GP124" t="str">
            <v>Misc Double Wall Tank 2</v>
          </cell>
          <cell r="GQ124">
            <v>0</v>
          </cell>
          <cell r="GS124">
            <v>0</v>
          </cell>
          <cell r="GT124">
            <v>0</v>
          </cell>
          <cell r="GV124">
            <v>0</v>
          </cell>
          <cell r="GW124">
            <v>0</v>
          </cell>
          <cell r="GY124">
            <v>0</v>
          </cell>
          <cell r="GZ124">
            <v>0</v>
          </cell>
          <cell r="HB124">
            <v>0</v>
          </cell>
          <cell r="HC124">
            <v>0</v>
          </cell>
          <cell r="HE124">
            <v>0</v>
          </cell>
          <cell r="HF124">
            <v>0</v>
          </cell>
          <cell r="HH124">
            <v>0</v>
          </cell>
          <cell r="HI124">
            <v>0</v>
          </cell>
          <cell r="HK124">
            <v>0</v>
          </cell>
          <cell r="HL124">
            <v>0</v>
          </cell>
          <cell r="HN124">
            <v>0</v>
          </cell>
          <cell r="HO124">
            <v>0</v>
          </cell>
          <cell r="HQ124">
            <v>0</v>
          </cell>
          <cell r="HR124">
            <v>0</v>
          </cell>
          <cell r="HT124">
            <v>0</v>
          </cell>
          <cell r="HU124">
            <v>0</v>
          </cell>
          <cell r="HW124">
            <v>0</v>
          </cell>
          <cell r="HX124">
            <v>0</v>
          </cell>
          <cell r="HZ124">
            <v>0</v>
          </cell>
          <cell r="IA124">
            <v>0</v>
          </cell>
          <cell r="IC124">
            <v>0</v>
          </cell>
          <cell r="ID124">
            <v>0</v>
          </cell>
          <cell r="IF124">
            <v>0</v>
          </cell>
        </row>
        <row r="125">
          <cell r="GP125" t="str">
            <v>Misc Double Wall Tank 3</v>
          </cell>
          <cell r="GQ125">
            <v>0</v>
          </cell>
          <cell r="GS125">
            <v>0</v>
          </cell>
          <cell r="GT125">
            <v>0</v>
          </cell>
          <cell r="GV125">
            <v>0</v>
          </cell>
          <cell r="GW125">
            <v>0</v>
          </cell>
          <cell r="GY125">
            <v>0</v>
          </cell>
          <cell r="GZ125">
            <v>0</v>
          </cell>
          <cell r="HB125">
            <v>0</v>
          </cell>
          <cell r="HC125">
            <v>0</v>
          </cell>
          <cell r="HE125">
            <v>0</v>
          </cell>
          <cell r="HF125">
            <v>0</v>
          </cell>
          <cell r="HH125">
            <v>0</v>
          </cell>
          <cell r="HI125">
            <v>0</v>
          </cell>
          <cell r="HK125">
            <v>0</v>
          </cell>
          <cell r="HL125">
            <v>0</v>
          </cell>
          <cell r="HN125">
            <v>0</v>
          </cell>
          <cell r="HO125">
            <v>0</v>
          </cell>
          <cell r="HQ125">
            <v>0</v>
          </cell>
          <cell r="HR125">
            <v>0</v>
          </cell>
          <cell r="HT125">
            <v>0</v>
          </cell>
          <cell r="HU125">
            <v>0</v>
          </cell>
          <cell r="HW125">
            <v>0</v>
          </cell>
          <cell r="HX125">
            <v>0</v>
          </cell>
          <cell r="HZ125">
            <v>0</v>
          </cell>
          <cell r="IA125">
            <v>0</v>
          </cell>
          <cell r="IC125">
            <v>0</v>
          </cell>
          <cell r="ID125">
            <v>0</v>
          </cell>
          <cell r="IF125">
            <v>0</v>
          </cell>
        </row>
        <row r="126">
          <cell r="GP126" t="str">
            <v>Demin Water Storage Tank</v>
          </cell>
          <cell r="GQ126">
            <v>0</v>
          </cell>
          <cell r="GS126">
            <v>0</v>
          </cell>
          <cell r="GT126">
            <v>0</v>
          </cell>
          <cell r="GV126">
            <v>0</v>
          </cell>
          <cell r="GW126">
            <v>0</v>
          </cell>
          <cell r="GY126">
            <v>0</v>
          </cell>
          <cell r="GZ126">
            <v>0</v>
          </cell>
          <cell r="HB126">
            <v>0</v>
          </cell>
          <cell r="HC126">
            <v>0</v>
          </cell>
          <cell r="HE126">
            <v>0</v>
          </cell>
          <cell r="HF126">
            <v>0</v>
          </cell>
          <cell r="HH126">
            <v>0</v>
          </cell>
          <cell r="HI126">
            <v>0</v>
          </cell>
          <cell r="HK126">
            <v>0</v>
          </cell>
          <cell r="HL126">
            <v>0</v>
          </cell>
          <cell r="HN126">
            <v>0</v>
          </cell>
          <cell r="HO126">
            <v>0</v>
          </cell>
          <cell r="HQ126">
            <v>0</v>
          </cell>
          <cell r="HR126">
            <v>0</v>
          </cell>
          <cell r="HT126">
            <v>0</v>
          </cell>
          <cell r="HU126">
            <v>0</v>
          </cell>
          <cell r="HW126">
            <v>0</v>
          </cell>
          <cell r="HX126">
            <v>0</v>
          </cell>
          <cell r="HZ126">
            <v>0</v>
          </cell>
          <cell r="IA126">
            <v>0</v>
          </cell>
          <cell r="IC126">
            <v>0</v>
          </cell>
          <cell r="ID126">
            <v>0</v>
          </cell>
          <cell r="IF126">
            <v>0</v>
          </cell>
        </row>
        <row r="127">
          <cell r="GP127" t="str">
            <v>Condensate Storage Tank</v>
          </cell>
          <cell r="GQ127">
            <v>0</v>
          </cell>
          <cell r="GS127">
            <v>0</v>
          </cell>
          <cell r="GT127">
            <v>0</v>
          </cell>
          <cell r="GV127">
            <v>0</v>
          </cell>
          <cell r="GW127">
            <v>0</v>
          </cell>
          <cell r="GY127">
            <v>0</v>
          </cell>
          <cell r="GZ127">
            <v>0</v>
          </cell>
          <cell r="HB127">
            <v>0</v>
          </cell>
          <cell r="HC127">
            <v>0</v>
          </cell>
          <cell r="HE127">
            <v>0</v>
          </cell>
          <cell r="HF127">
            <v>0</v>
          </cell>
          <cell r="HH127">
            <v>0</v>
          </cell>
          <cell r="HI127">
            <v>0</v>
          </cell>
          <cell r="HK127">
            <v>0</v>
          </cell>
          <cell r="HL127">
            <v>0</v>
          </cell>
          <cell r="HN127">
            <v>0</v>
          </cell>
          <cell r="HO127">
            <v>0</v>
          </cell>
          <cell r="HQ127">
            <v>0</v>
          </cell>
          <cell r="HR127">
            <v>0</v>
          </cell>
          <cell r="HT127">
            <v>0</v>
          </cell>
          <cell r="HU127">
            <v>0</v>
          </cell>
          <cell r="HW127">
            <v>0</v>
          </cell>
          <cell r="HX127">
            <v>0</v>
          </cell>
          <cell r="HZ127">
            <v>0</v>
          </cell>
          <cell r="IA127">
            <v>0</v>
          </cell>
          <cell r="IC127">
            <v>0</v>
          </cell>
          <cell r="ID127">
            <v>0</v>
          </cell>
          <cell r="IF127">
            <v>0</v>
          </cell>
        </row>
        <row r="128">
          <cell r="GP128" t="str">
            <v>Neutralization Tank</v>
          </cell>
          <cell r="GQ128">
            <v>0</v>
          </cell>
          <cell r="GS128">
            <v>0</v>
          </cell>
          <cell r="GT128">
            <v>0</v>
          </cell>
          <cell r="GV128">
            <v>0</v>
          </cell>
          <cell r="GW128">
            <v>0</v>
          </cell>
          <cell r="GY128">
            <v>0</v>
          </cell>
          <cell r="GZ128">
            <v>0</v>
          </cell>
          <cell r="HB128">
            <v>0</v>
          </cell>
          <cell r="HC128">
            <v>0</v>
          </cell>
          <cell r="HE128">
            <v>0</v>
          </cell>
          <cell r="HF128">
            <v>0</v>
          </cell>
          <cell r="HH128">
            <v>0</v>
          </cell>
          <cell r="HI128">
            <v>0</v>
          </cell>
          <cell r="HK128">
            <v>0</v>
          </cell>
          <cell r="HL128">
            <v>0</v>
          </cell>
          <cell r="HN128">
            <v>0</v>
          </cell>
          <cell r="HO128">
            <v>0</v>
          </cell>
          <cell r="HQ128">
            <v>0</v>
          </cell>
          <cell r="HR128">
            <v>0</v>
          </cell>
          <cell r="HT128">
            <v>0</v>
          </cell>
          <cell r="HU128">
            <v>0</v>
          </cell>
          <cell r="HW128">
            <v>0</v>
          </cell>
          <cell r="HX128">
            <v>0</v>
          </cell>
          <cell r="HZ128">
            <v>0</v>
          </cell>
          <cell r="IA128">
            <v>0</v>
          </cell>
          <cell r="IC128">
            <v>0</v>
          </cell>
          <cell r="ID128">
            <v>0</v>
          </cell>
          <cell r="IF128">
            <v>0</v>
          </cell>
        </row>
        <row r="129">
          <cell r="GP129" t="str">
            <v>Misc Lined Tank 1</v>
          </cell>
          <cell r="GQ129">
            <v>0</v>
          </cell>
          <cell r="GS129">
            <v>0</v>
          </cell>
          <cell r="GT129">
            <v>0</v>
          </cell>
          <cell r="GV129">
            <v>0</v>
          </cell>
          <cell r="GW129">
            <v>0</v>
          </cell>
          <cell r="GY129">
            <v>0</v>
          </cell>
          <cell r="GZ129">
            <v>0</v>
          </cell>
          <cell r="HB129">
            <v>0</v>
          </cell>
          <cell r="HC129">
            <v>0</v>
          </cell>
          <cell r="HE129">
            <v>0</v>
          </cell>
          <cell r="HF129">
            <v>0</v>
          </cell>
          <cell r="HH129">
            <v>0</v>
          </cell>
          <cell r="HI129">
            <v>0</v>
          </cell>
          <cell r="HK129">
            <v>0</v>
          </cell>
          <cell r="HL129">
            <v>0</v>
          </cell>
          <cell r="HN129">
            <v>0</v>
          </cell>
          <cell r="HO129">
            <v>0</v>
          </cell>
          <cell r="HQ129">
            <v>0</v>
          </cell>
          <cell r="HR129">
            <v>0</v>
          </cell>
          <cell r="HT129">
            <v>0</v>
          </cell>
          <cell r="HU129">
            <v>0</v>
          </cell>
          <cell r="HW129">
            <v>0</v>
          </cell>
          <cell r="HX129">
            <v>0</v>
          </cell>
          <cell r="HZ129">
            <v>0</v>
          </cell>
          <cell r="IA129">
            <v>0</v>
          </cell>
          <cell r="IC129">
            <v>0</v>
          </cell>
          <cell r="ID129">
            <v>0</v>
          </cell>
          <cell r="IF129">
            <v>0</v>
          </cell>
        </row>
        <row r="130">
          <cell r="GP130" t="str">
            <v>Misc Lined Tank 2</v>
          </cell>
          <cell r="GQ130">
            <v>0</v>
          </cell>
          <cell r="GS130">
            <v>0</v>
          </cell>
          <cell r="GT130">
            <v>0</v>
          </cell>
          <cell r="GV130">
            <v>0</v>
          </cell>
          <cell r="GW130">
            <v>0</v>
          </cell>
          <cell r="GY130">
            <v>0</v>
          </cell>
          <cell r="GZ130">
            <v>0</v>
          </cell>
          <cell r="HB130">
            <v>0</v>
          </cell>
          <cell r="HC130">
            <v>0</v>
          </cell>
          <cell r="HE130">
            <v>0</v>
          </cell>
          <cell r="HF130">
            <v>0</v>
          </cell>
          <cell r="HH130">
            <v>0</v>
          </cell>
          <cell r="HI130">
            <v>0</v>
          </cell>
          <cell r="HK130">
            <v>0</v>
          </cell>
          <cell r="HL130">
            <v>0</v>
          </cell>
          <cell r="HN130">
            <v>0</v>
          </cell>
          <cell r="HO130">
            <v>0</v>
          </cell>
          <cell r="HQ130">
            <v>0</v>
          </cell>
          <cell r="HR130">
            <v>0</v>
          </cell>
          <cell r="HT130">
            <v>0</v>
          </cell>
          <cell r="HU130">
            <v>0</v>
          </cell>
          <cell r="HW130">
            <v>0</v>
          </cell>
          <cell r="HX130">
            <v>0</v>
          </cell>
          <cell r="HZ130">
            <v>0</v>
          </cell>
          <cell r="IA130">
            <v>0</v>
          </cell>
          <cell r="IC130">
            <v>0</v>
          </cell>
          <cell r="ID130">
            <v>0</v>
          </cell>
          <cell r="IF130">
            <v>0</v>
          </cell>
        </row>
        <row r="131">
          <cell r="GP131" t="str">
            <v>Misc Lined Tank 3</v>
          </cell>
          <cell r="GQ131">
            <v>0</v>
          </cell>
          <cell r="GS131">
            <v>0</v>
          </cell>
          <cell r="GT131">
            <v>0</v>
          </cell>
          <cell r="GV131">
            <v>0</v>
          </cell>
          <cell r="GW131">
            <v>0</v>
          </cell>
          <cell r="GY131">
            <v>0</v>
          </cell>
          <cell r="GZ131">
            <v>0</v>
          </cell>
          <cell r="HB131">
            <v>0</v>
          </cell>
          <cell r="HC131">
            <v>0</v>
          </cell>
          <cell r="HE131">
            <v>0</v>
          </cell>
          <cell r="HF131">
            <v>0</v>
          </cell>
          <cell r="HH131">
            <v>0</v>
          </cell>
          <cell r="HI131">
            <v>0</v>
          </cell>
          <cell r="HK131">
            <v>0</v>
          </cell>
          <cell r="HL131">
            <v>0</v>
          </cell>
          <cell r="HN131">
            <v>0</v>
          </cell>
          <cell r="HO131">
            <v>0</v>
          </cell>
          <cell r="HQ131">
            <v>0</v>
          </cell>
          <cell r="HR131">
            <v>0</v>
          </cell>
          <cell r="HT131">
            <v>0</v>
          </cell>
          <cell r="HU131">
            <v>0</v>
          </cell>
          <cell r="HW131">
            <v>0</v>
          </cell>
          <cell r="HX131">
            <v>0</v>
          </cell>
          <cell r="HZ131">
            <v>0</v>
          </cell>
          <cell r="IA131">
            <v>0</v>
          </cell>
          <cell r="IC131">
            <v>0</v>
          </cell>
          <cell r="ID131">
            <v>0</v>
          </cell>
          <cell r="IF131">
            <v>0</v>
          </cell>
        </row>
        <row r="132">
          <cell r="GP132" t="str">
            <v>HRSG Blowdown Tank</v>
          </cell>
          <cell r="GQ132">
            <v>0</v>
          </cell>
          <cell r="GS132">
            <v>0</v>
          </cell>
          <cell r="GT132">
            <v>0</v>
          </cell>
          <cell r="GV132">
            <v>0</v>
          </cell>
          <cell r="GW132">
            <v>0</v>
          </cell>
          <cell r="GY132">
            <v>0</v>
          </cell>
          <cell r="GZ132">
            <v>0</v>
          </cell>
          <cell r="HB132">
            <v>0</v>
          </cell>
          <cell r="HC132">
            <v>0</v>
          </cell>
          <cell r="HE132">
            <v>0</v>
          </cell>
          <cell r="HF132">
            <v>0</v>
          </cell>
          <cell r="HH132">
            <v>0</v>
          </cell>
          <cell r="HI132">
            <v>0</v>
          </cell>
          <cell r="HK132">
            <v>0</v>
          </cell>
          <cell r="HL132">
            <v>0</v>
          </cell>
          <cell r="HN132">
            <v>0</v>
          </cell>
          <cell r="HO132">
            <v>0</v>
          </cell>
          <cell r="HQ132">
            <v>0</v>
          </cell>
          <cell r="HR132">
            <v>0</v>
          </cell>
          <cell r="HT132">
            <v>0</v>
          </cell>
          <cell r="HU132">
            <v>0</v>
          </cell>
          <cell r="HW132">
            <v>0</v>
          </cell>
          <cell r="HX132">
            <v>0</v>
          </cell>
          <cell r="HZ132">
            <v>0</v>
          </cell>
          <cell r="IA132">
            <v>0</v>
          </cell>
          <cell r="IC132">
            <v>0</v>
          </cell>
          <cell r="ID132">
            <v>0</v>
          </cell>
          <cell r="IF132">
            <v>0</v>
          </cell>
        </row>
        <row r="133">
          <cell r="GP133" t="str">
            <v>Auxiliary Boiler Blowdown Tank</v>
          </cell>
          <cell r="GQ133">
            <v>0</v>
          </cell>
          <cell r="GS133">
            <v>0</v>
          </cell>
          <cell r="GT133">
            <v>0</v>
          </cell>
          <cell r="GV133">
            <v>0</v>
          </cell>
          <cell r="GW133">
            <v>0</v>
          </cell>
          <cell r="GY133">
            <v>0</v>
          </cell>
          <cell r="GZ133">
            <v>0</v>
          </cell>
          <cell r="HB133">
            <v>0</v>
          </cell>
          <cell r="HC133">
            <v>0</v>
          </cell>
          <cell r="HE133">
            <v>0</v>
          </cell>
          <cell r="HF133">
            <v>0</v>
          </cell>
          <cell r="HH133">
            <v>0</v>
          </cell>
          <cell r="HI133">
            <v>0</v>
          </cell>
          <cell r="HK133">
            <v>0</v>
          </cell>
          <cell r="HL133">
            <v>0</v>
          </cell>
          <cell r="HN133">
            <v>0</v>
          </cell>
          <cell r="HO133">
            <v>0</v>
          </cell>
          <cell r="HQ133">
            <v>0</v>
          </cell>
          <cell r="HR133">
            <v>0</v>
          </cell>
          <cell r="HT133">
            <v>0</v>
          </cell>
          <cell r="HU133">
            <v>0</v>
          </cell>
          <cell r="HW133">
            <v>0</v>
          </cell>
          <cell r="HX133">
            <v>0</v>
          </cell>
          <cell r="HZ133">
            <v>0</v>
          </cell>
          <cell r="IA133">
            <v>0</v>
          </cell>
          <cell r="IC133">
            <v>0</v>
          </cell>
          <cell r="ID133">
            <v>0</v>
          </cell>
          <cell r="IF133">
            <v>0</v>
          </cell>
        </row>
        <row r="134">
          <cell r="GP134" t="str">
            <v>Lube Oil Storage Tank</v>
          </cell>
          <cell r="GQ134">
            <v>0</v>
          </cell>
          <cell r="GS134">
            <v>0</v>
          </cell>
          <cell r="GT134">
            <v>0</v>
          </cell>
          <cell r="GV134">
            <v>0</v>
          </cell>
          <cell r="GW134">
            <v>0</v>
          </cell>
          <cell r="GY134">
            <v>0</v>
          </cell>
          <cell r="GZ134">
            <v>0</v>
          </cell>
          <cell r="HB134">
            <v>0</v>
          </cell>
          <cell r="HC134">
            <v>0</v>
          </cell>
          <cell r="HE134">
            <v>0</v>
          </cell>
          <cell r="HF134">
            <v>0</v>
          </cell>
          <cell r="HH134">
            <v>0</v>
          </cell>
          <cell r="HI134">
            <v>0</v>
          </cell>
          <cell r="HK134">
            <v>0</v>
          </cell>
          <cell r="HL134">
            <v>0</v>
          </cell>
          <cell r="HN134">
            <v>0</v>
          </cell>
          <cell r="HO134">
            <v>0</v>
          </cell>
          <cell r="HQ134">
            <v>0</v>
          </cell>
          <cell r="HR134">
            <v>0</v>
          </cell>
          <cell r="HT134">
            <v>0</v>
          </cell>
          <cell r="HU134">
            <v>0</v>
          </cell>
          <cell r="HW134">
            <v>0</v>
          </cell>
          <cell r="HX134">
            <v>0</v>
          </cell>
          <cell r="HZ134">
            <v>0</v>
          </cell>
          <cell r="IA134">
            <v>0</v>
          </cell>
          <cell r="IC134">
            <v>0</v>
          </cell>
          <cell r="ID134">
            <v>0</v>
          </cell>
          <cell r="IF134">
            <v>0</v>
          </cell>
        </row>
        <row r="135">
          <cell r="GP135" t="str">
            <v>Shop Fab Tank 4</v>
          </cell>
          <cell r="GQ135">
            <v>0</v>
          </cell>
          <cell r="GS135">
            <v>0</v>
          </cell>
          <cell r="GT135">
            <v>0</v>
          </cell>
          <cell r="GV135">
            <v>0</v>
          </cell>
          <cell r="GW135">
            <v>0</v>
          </cell>
          <cell r="GY135">
            <v>0</v>
          </cell>
          <cell r="GZ135">
            <v>0</v>
          </cell>
          <cell r="HB135">
            <v>0</v>
          </cell>
          <cell r="HC135">
            <v>0</v>
          </cell>
          <cell r="HE135">
            <v>0</v>
          </cell>
          <cell r="HF135">
            <v>0</v>
          </cell>
          <cell r="HH135">
            <v>0</v>
          </cell>
          <cell r="HI135">
            <v>0</v>
          </cell>
          <cell r="HK135">
            <v>0</v>
          </cell>
          <cell r="HL135">
            <v>0</v>
          </cell>
          <cell r="HN135">
            <v>0</v>
          </cell>
          <cell r="HO135">
            <v>0</v>
          </cell>
          <cell r="HQ135">
            <v>0</v>
          </cell>
          <cell r="HR135">
            <v>0</v>
          </cell>
          <cell r="HT135">
            <v>0</v>
          </cell>
          <cell r="HU135">
            <v>0</v>
          </cell>
          <cell r="HW135">
            <v>0</v>
          </cell>
          <cell r="HX135">
            <v>0</v>
          </cell>
          <cell r="HZ135">
            <v>0</v>
          </cell>
          <cell r="IA135">
            <v>0</v>
          </cell>
          <cell r="IC135">
            <v>0</v>
          </cell>
          <cell r="ID135">
            <v>0</v>
          </cell>
          <cell r="IF135">
            <v>0</v>
          </cell>
        </row>
        <row r="136">
          <cell r="GP136" t="str">
            <v>Closed Cooling Water Head Tank</v>
          </cell>
          <cell r="GQ136">
            <v>100</v>
          </cell>
          <cell r="GS136">
            <v>100</v>
          </cell>
          <cell r="GT136">
            <v>100</v>
          </cell>
          <cell r="GV136">
            <v>100</v>
          </cell>
          <cell r="GW136">
            <v>100</v>
          </cell>
          <cell r="GY136">
            <v>100</v>
          </cell>
          <cell r="GZ136">
            <v>100</v>
          </cell>
          <cell r="HB136">
            <v>100</v>
          </cell>
          <cell r="HC136">
            <v>100</v>
          </cell>
          <cell r="HE136">
            <v>100</v>
          </cell>
          <cell r="HF136">
            <v>100</v>
          </cell>
          <cell r="HH136">
            <v>100</v>
          </cell>
          <cell r="HI136">
            <v>100</v>
          </cell>
          <cell r="HK136">
            <v>100</v>
          </cell>
          <cell r="HL136">
            <v>100</v>
          </cell>
          <cell r="HN136">
            <v>100</v>
          </cell>
          <cell r="HO136">
            <v>100</v>
          </cell>
          <cell r="HQ136">
            <v>100</v>
          </cell>
          <cell r="HR136">
            <v>100</v>
          </cell>
          <cell r="HT136">
            <v>100</v>
          </cell>
          <cell r="HU136">
            <v>100</v>
          </cell>
          <cell r="HW136">
            <v>100</v>
          </cell>
          <cell r="HX136">
            <v>100</v>
          </cell>
          <cell r="HZ136">
            <v>100</v>
          </cell>
          <cell r="IA136">
            <v>100</v>
          </cell>
          <cell r="IC136">
            <v>100</v>
          </cell>
          <cell r="ID136">
            <v>100</v>
          </cell>
          <cell r="IF136">
            <v>100</v>
          </cell>
        </row>
        <row r="137">
          <cell r="GP137" t="str">
            <v>Shop Fab Tank 1</v>
          </cell>
          <cell r="GQ137">
            <v>0</v>
          </cell>
          <cell r="GS137">
            <v>0</v>
          </cell>
          <cell r="GT137">
            <v>0</v>
          </cell>
          <cell r="GV137">
            <v>0</v>
          </cell>
          <cell r="GW137">
            <v>0</v>
          </cell>
          <cell r="GY137">
            <v>0</v>
          </cell>
          <cell r="GZ137">
            <v>0</v>
          </cell>
          <cell r="HB137">
            <v>0</v>
          </cell>
          <cell r="HC137">
            <v>0</v>
          </cell>
          <cell r="HE137">
            <v>0</v>
          </cell>
          <cell r="HF137">
            <v>0</v>
          </cell>
          <cell r="HH137">
            <v>0</v>
          </cell>
          <cell r="HI137">
            <v>0</v>
          </cell>
          <cell r="HK137">
            <v>0</v>
          </cell>
          <cell r="HL137">
            <v>0</v>
          </cell>
          <cell r="HN137">
            <v>0</v>
          </cell>
          <cell r="HO137">
            <v>0</v>
          </cell>
          <cell r="HQ137">
            <v>0</v>
          </cell>
          <cell r="HR137">
            <v>0</v>
          </cell>
          <cell r="HT137">
            <v>0</v>
          </cell>
          <cell r="HU137">
            <v>0</v>
          </cell>
          <cell r="HW137">
            <v>0</v>
          </cell>
          <cell r="HX137">
            <v>0</v>
          </cell>
          <cell r="HZ137">
            <v>0</v>
          </cell>
          <cell r="IA137">
            <v>0</v>
          </cell>
          <cell r="IC137">
            <v>0</v>
          </cell>
          <cell r="ID137">
            <v>0</v>
          </cell>
          <cell r="IF137">
            <v>0</v>
          </cell>
        </row>
        <row r="138">
          <cell r="GP138" t="str">
            <v>Shop Fab Tank 2</v>
          </cell>
          <cell r="GQ138">
            <v>0</v>
          </cell>
          <cell r="GS138">
            <v>0</v>
          </cell>
          <cell r="GT138">
            <v>0</v>
          </cell>
          <cell r="GV138">
            <v>0</v>
          </cell>
          <cell r="GW138">
            <v>0</v>
          </cell>
          <cell r="GY138">
            <v>0</v>
          </cell>
          <cell r="GZ138">
            <v>0</v>
          </cell>
          <cell r="HB138">
            <v>0</v>
          </cell>
          <cell r="HC138">
            <v>0</v>
          </cell>
          <cell r="HE138">
            <v>0</v>
          </cell>
          <cell r="HF138">
            <v>0</v>
          </cell>
          <cell r="HH138">
            <v>0</v>
          </cell>
          <cell r="HI138">
            <v>0</v>
          </cell>
          <cell r="HK138">
            <v>0</v>
          </cell>
          <cell r="HL138">
            <v>0</v>
          </cell>
          <cell r="HN138">
            <v>0</v>
          </cell>
          <cell r="HO138">
            <v>0</v>
          </cell>
          <cell r="HQ138">
            <v>0</v>
          </cell>
          <cell r="HR138">
            <v>0</v>
          </cell>
          <cell r="HT138">
            <v>0</v>
          </cell>
          <cell r="HU138">
            <v>0</v>
          </cell>
          <cell r="HW138">
            <v>0</v>
          </cell>
          <cell r="HX138">
            <v>0</v>
          </cell>
          <cell r="HZ138">
            <v>0</v>
          </cell>
          <cell r="IA138">
            <v>0</v>
          </cell>
          <cell r="IC138">
            <v>0</v>
          </cell>
          <cell r="ID138">
            <v>0</v>
          </cell>
          <cell r="IF138">
            <v>0</v>
          </cell>
        </row>
        <row r="139">
          <cell r="GP139" t="str">
            <v>Shop Fab Tank 3</v>
          </cell>
          <cell r="GQ139">
            <v>0</v>
          </cell>
          <cell r="GS139">
            <v>0</v>
          </cell>
          <cell r="GT139">
            <v>0</v>
          </cell>
          <cell r="GV139">
            <v>0</v>
          </cell>
          <cell r="GW139">
            <v>0</v>
          </cell>
          <cell r="GY139">
            <v>0</v>
          </cell>
          <cell r="GZ139">
            <v>0</v>
          </cell>
          <cell r="HB139">
            <v>0</v>
          </cell>
          <cell r="HC139">
            <v>0</v>
          </cell>
          <cell r="HE139">
            <v>0</v>
          </cell>
          <cell r="HF139">
            <v>0</v>
          </cell>
          <cell r="HH139">
            <v>0</v>
          </cell>
          <cell r="HI139">
            <v>0</v>
          </cell>
          <cell r="HK139">
            <v>0</v>
          </cell>
          <cell r="HL139">
            <v>0</v>
          </cell>
          <cell r="HN139">
            <v>0</v>
          </cell>
          <cell r="HO139">
            <v>0</v>
          </cell>
          <cell r="HQ139">
            <v>0</v>
          </cell>
          <cell r="HR139">
            <v>0</v>
          </cell>
          <cell r="HT139">
            <v>0</v>
          </cell>
          <cell r="HU139">
            <v>0</v>
          </cell>
          <cell r="HW139">
            <v>0</v>
          </cell>
          <cell r="HX139">
            <v>0</v>
          </cell>
          <cell r="HZ139">
            <v>0</v>
          </cell>
          <cell r="IA139">
            <v>0</v>
          </cell>
          <cell r="IC139">
            <v>0</v>
          </cell>
          <cell r="ID139">
            <v>0</v>
          </cell>
          <cell r="IF139">
            <v>0</v>
          </cell>
        </row>
        <row r="140">
          <cell r="GP140" t="str">
            <v>GTG Drains Tank</v>
          </cell>
          <cell r="GQ140">
            <v>100</v>
          </cell>
          <cell r="GS140">
            <v>100</v>
          </cell>
          <cell r="GT140">
            <v>100</v>
          </cell>
          <cell r="GV140">
            <v>100</v>
          </cell>
          <cell r="GW140">
            <v>100</v>
          </cell>
          <cell r="GY140">
            <v>100</v>
          </cell>
          <cell r="GZ140">
            <v>100</v>
          </cell>
          <cell r="HB140">
            <v>100</v>
          </cell>
          <cell r="HC140">
            <v>100</v>
          </cell>
          <cell r="HE140">
            <v>100</v>
          </cell>
          <cell r="HF140">
            <v>100</v>
          </cell>
          <cell r="HH140">
            <v>100</v>
          </cell>
          <cell r="HI140">
            <v>100</v>
          </cell>
          <cell r="HK140">
            <v>100</v>
          </cell>
          <cell r="HL140">
            <v>100</v>
          </cell>
          <cell r="HN140">
            <v>100</v>
          </cell>
          <cell r="HO140">
            <v>100</v>
          </cell>
          <cell r="HQ140">
            <v>100</v>
          </cell>
          <cell r="HR140">
            <v>100</v>
          </cell>
          <cell r="HT140">
            <v>100</v>
          </cell>
          <cell r="HU140">
            <v>100</v>
          </cell>
          <cell r="HW140">
            <v>100</v>
          </cell>
          <cell r="HX140">
            <v>100</v>
          </cell>
          <cell r="HZ140">
            <v>100</v>
          </cell>
          <cell r="IA140">
            <v>100</v>
          </cell>
          <cell r="IC140">
            <v>100</v>
          </cell>
          <cell r="ID140">
            <v>100</v>
          </cell>
          <cell r="IF140">
            <v>100</v>
          </cell>
        </row>
        <row r="141">
          <cell r="GP141" t="str">
            <v>False Start Drain Tank</v>
          </cell>
          <cell r="GQ141">
            <v>100</v>
          </cell>
          <cell r="GS141">
            <v>100</v>
          </cell>
          <cell r="GT141">
            <v>100</v>
          </cell>
          <cell r="GV141">
            <v>100</v>
          </cell>
          <cell r="GW141">
            <v>100</v>
          </cell>
          <cell r="GY141">
            <v>100</v>
          </cell>
          <cell r="GZ141">
            <v>100</v>
          </cell>
          <cell r="HB141">
            <v>100</v>
          </cell>
          <cell r="HC141">
            <v>100</v>
          </cell>
          <cell r="HE141">
            <v>100</v>
          </cell>
          <cell r="HF141">
            <v>100</v>
          </cell>
          <cell r="HH141">
            <v>100</v>
          </cell>
          <cell r="HI141">
            <v>100</v>
          </cell>
          <cell r="HK141">
            <v>100</v>
          </cell>
          <cell r="HL141">
            <v>100</v>
          </cell>
          <cell r="HN141">
            <v>100</v>
          </cell>
          <cell r="HO141">
            <v>100</v>
          </cell>
          <cell r="HQ141">
            <v>100</v>
          </cell>
          <cell r="HR141">
            <v>100</v>
          </cell>
          <cell r="HT141">
            <v>100</v>
          </cell>
          <cell r="HU141">
            <v>100</v>
          </cell>
          <cell r="HW141">
            <v>100</v>
          </cell>
          <cell r="HX141">
            <v>100</v>
          </cell>
          <cell r="HZ141">
            <v>100</v>
          </cell>
          <cell r="IA141">
            <v>100</v>
          </cell>
          <cell r="IC141">
            <v>100</v>
          </cell>
          <cell r="ID141">
            <v>100</v>
          </cell>
          <cell r="IF141">
            <v>100</v>
          </cell>
        </row>
        <row r="142">
          <cell r="GP142" t="str">
            <v>Acid Storage Tank</v>
          </cell>
          <cell r="GQ142">
            <v>0</v>
          </cell>
          <cell r="GS142">
            <v>0</v>
          </cell>
          <cell r="GT142">
            <v>0</v>
          </cell>
          <cell r="GV142">
            <v>0</v>
          </cell>
          <cell r="GW142">
            <v>0</v>
          </cell>
          <cell r="GY142">
            <v>0</v>
          </cell>
          <cell r="GZ142">
            <v>0</v>
          </cell>
          <cell r="HB142">
            <v>0</v>
          </cell>
          <cell r="HC142">
            <v>0</v>
          </cell>
          <cell r="HE142">
            <v>0</v>
          </cell>
          <cell r="HF142">
            <v>0</v>
          </cell>
          <cell r="HH142">
            <v>0</v>
          </cell>
          <cell r="HI142">
            <v>0</v>
          </cell>
          <cell r="HK142">
            <v>0</v>
          </cell>
          <cell r="HL142">
            <v>0</v>
          </cell>
          <cell r="HN142">
            <v>0</v>
          </cell>
          <cell r="HO142">
            <v>0</v>
          </cell>
          <cell r="HQ142">
            <v>0</v>
          </cell>
          <cell r="HR142">
            <v>0</v>
          </cell>
          <cell r="HT142">
            <v>0</v>
          </cell>
          <cell r="HU142">
            <v>0</v>
          </cell>
          <cell r="HW142">
            <v>0</v>
          </cell>
          <cell r="HX142">
            <v>0</v>
          </cell>
          <cell r="HZ142">
            <v>0</v>
          </cell>
          <cell r="IA142">
            <v>0</v>
          </cell>
          <cell r="IC142">
            <v>0</v>
          </cell>
          <cell r="ID142">
            <v>0</v>
          </cell>
          <cell r="IF142">
            <v>0</v>
          </cell>
        </row>
        <row r="143">
          <cell r="GP143" t="str">
            <v>Caustic Storage Tank</v>
          </cell>
          <cell r="GQ143">
            <v>0</v>
          </cell>
          <cell r="GS143">
            <v>0</v>
          </cell>
          <cell r="GT143">
            <v>0</v>
          </cell>
          <cell r="GV143">
            <v>0</v>
          </cell>
          <cell r="GW143">
            <v>0</v>
          </cell>
          <cell r="GY143">
            <v>0</v>
          </cell>
          <cell r="GZ143">
            <v>0</v>
          </cell>
          <cell r="HB143">
            <v>0</v>
          </cell>
          <cell r="HC143">
            <v>0</v>
          </cell>
          <cell r="HE143">
            <v>0</v>
          </cell>
          <cell r="HF143">
            <v>0</v>
          </cell>
          <cell r="HH143">
            <v>0</v>
          </cell>
          <cell r="HI143">
            <v>0</v>
          </cell>
          <cell r="HK143">
            <v>0</v>
          </cell>
          <cell r="HL143">
            <v>0</v>
          </cell>
          <cell r="HN143">
            <v>0</v>
          </cell>
          <cell r="HO143">
            <v>0</v>
          </cell>
          <cell r="HQ143">
            <v>0</v>
          </cell>
          <cell r="HR143">
            <v>0</v>
          </cell>
          <cell r="HT143">
            <v>0</v>
          </cell>
          <cell r="HU143">
            <v>0</v>
          </cell>
          <cell r="HW143">
            <v>0</v>
          </cell>
          <cell r="HX143">
            <v>0</v>
          </cell>
          <cell r="HZ143">
            <v>0</v>
          </cell>
          <cell r="IA143">
            <v>0</v>
          </cell>
          <cell r="IC143">
            <v>0</v>
          </cell>
          <cell r="ID143">
            <v>0</v>
          </cell>
          <cell r="IF143">
            <v>0</v>
          </cell>
        </row>
        <row r="144">
          <cell r="GP144" t="str">
            <v>Sulfuric Acid Tank</v>
          </cell>
          <cell r="GQ144">
            <v>0</v>
          </cell>
          <cell r="GS144">
            <v>0</v>
          </cell>
          <cell r="GT144">
            <v>0</v>
          </cell>
          <cell r="GV144">
            <v>0</v>
          </cell>
          <cell r="GW144">
            <v>0</v>
          </cell>
          <cell r="GY144">
            <v>0</v>
          </cell>
          <cell r="GZ144">
            <v>0</v>
          </cell>
          <cell r="HB144">
            <v>0</v>
          </cell>
          <cell r="HC144">
            <v>0</v>
          </cell>
          <cell r="HE144">
            <v>0</v>
          </cell>
          <cell r="HF144">
            <v>0</v>
          </cell>
          <cell r="HH144">
            <v>0</v>
          </cell>
          <cell r="HI144">
            <v>0</v>
          </cell>
          <cell r="HK144">
            <v>0</v>
          </cell>
          <cell r="HL144">
            <v>0</v>
          </cell>
          <cell r="HN144">
            <v>0</v>
          </cell>
          <cell r="HO144">
            <v>0</v>
          </cell>
          <cell r="HQ144">
            <v>0</v>
          </cell>
          <cell r="HR144">
            <v>0</v>
          </cell>
          <cell r="HT144">
            <v>0</v>
          </cell>
          <cell r="HU144">
            <v>0</v>
          </cell>
          <cell r="HW144">
            <v>0</v>
          </cell>
          <cell r="HX144">
            <v>0</v>
          </cell>
          <cell r="HZ144">
            <v>0</v>
          </cell>
          <cell r="IA144">
            <v>0</v>
          </cell>
          <cell r="IC144">
            <v>0</v>
          </cell>
          <cell r="ID144">
            <v>0</v>
          </cell>
          <cell r="IF144">
            <v>0</v>
          </cell>
        </row>
        <row r="145">
          <cell r="GP145" t="str">
            <v>Shop Fab Non Met Tank 1</v>
          </cell>
          <cell r="GQ145">
            <v>0</v>
          </cell>
          <cell r="GS145">
            <v>0</v>
          </cell>
          <cell r="GT145">
            <v>0</v>
          </cell>
          <cell r="GV145">
            <v>0</v>
          </cell>
          <cell r="GW145">
            <v>0</v>
          </cell>
          <cell r="GY145">
            <v>0</v>
          </cell>
          <cell r="GZ145">
            <v>0</v>
          </cell>
          <cell r="HB145">
            <v>0</v>
          </cell>
          <cell r="HC145">
            <v>0</v>
          </cell>
          <cell r="HE145">
            <v>0</v>
          </cell>
          <cell r="HF145">
            <v>0</v>
          </cell>
          <cell r="HH145">
            <v>0</v>
          </cell>
          <cell r="HI145">
            <v>0</v>
          </cell>
          <cell r="HK145">
            <v>0</v>
          </cell>
          <cell r="HL145">
            <v>0</v>
          </cell>
          <cell r="HN145">
            <v>0</v>
          </cell>
          <cell r="HO145">
            <v>0</v>
          </cell>
          <cell r="HQ145">
            <v>0</v>
          </cell>
          <cell r="HR145">
            <v>0</v>
          </cell>
          <cell r="HT145">
            <v>0</v>
          </cell>
          <cell r="HU145">
            <v>0</v>
          </cell>
          <cell r="HW145">
            <v>0</v>
          </cell>
          <cell r="HX145">
            <v>0</v>
          </cell>
          <cell r="HZ145">
            <v>0</v>
          </cell>
          <cell r="IA145">
            <v>0</v>
          </cell>
          <cell r="IC145">
            <v>0</v>
          </cell>
          <cell r="ID145">
            <v>0</v>
          </cell>
          <cell r="IF145">
            <v>0</v>
          </cell>
        </row>
        <row r="146">
          <cell r="GP146" t="str">
            <v>Shop Fab Non Met Tank 2</v>
          </cell>
          <cell r="GQ146">
            <v>0</v>
          </cell>
          <cell r="GS146">
            <v>0</v>
          </cell>
          <cell r="GT146">
            <v>0</v>
          </cell>
          <cell r="GV146">
            <v>0</v>
          </cell>
          <cell r="GW146">
            <v>0</v>
          </cell>
          <cell r="GY146">
            <v>0</v>
          </cell>
          <cell r="GZ146">
            <v>0</v>
          </cell>
          <cell r="HB146">
            <v>0</v>
          </cell>
          <cell r="HC146">
            <v>0</v>
          </cell>
          <cell r="HE146">
            <v>0</v>
          </cell>
          <cell r="HF146">
            <v>0</v>
          </cell>
          <cell r="HH146">
            <v>0</v>
          </cell>
          <cell r="HI146">
            <v>0</v>
          </cell>
          <cell r="HK146">
            <v>0</v>
          </cell>
          <cell r="HL146">
            <v>0</v>
          </cell>
          <cell r="HN146">
            <v>0</v>
          </cell>
          <cell r="HO146">
            <v>0</v>
          </cell>
          <cell r="HQ146">
            <v>0</v>
          </cell>
          <cell r="HR146">
            <v>0</v>
          </cell>
          <cell r="HT146">
            <v>0</v>
          </cell>
          <cell r="HU146">
            <v>0</v>
          </cell>
          <cell r="HW146">
            <v>0</v>
          </cell>
          <cell r="HX146">
            <v>0</v>
          </cell>
          <cell r="HZ146">
            <v>0</v>
          </cell>
          <cell r="IA146">
            <v>0</v>
          </cell>
          <cell r="IC146">
            <v>0</v>
          </cell>
          <cell r="ID146">
            <v>0</v>
          </cell>
          <cell r="IF146">
            <v>0</v>
          </cell>
        </row>
        <row r="147">
          <cell r="GP147" t="str">
            <v>Shop Fab Non Met Tank 3</v>
          </cell>
          <cell r="GQ147">
            <v>0</v>
          </cell>
          <cell r="GS147">
            <v>0</v>
          </cell>
          <cell r="GT147">
            <v>0</v>
          </cell>
          <cell r="GV147">
            <v>0</v>
          </cell>
          <cell r="GW147">
            <v>0</v>
          </cell>
          <cell r="GY147">
            <v>0</v>
          </cell>
          <cell r="GZ147">
            <v>0</v>
          </cell>
          <cell r="HB147">
            <v>0</v>
          </cell>
          <cell r="HC147">
            <v>0</v>
          </cell>
          <cell r="HE147">
            <v>0</v>
          </cell>
          <cell r="HF147">
            <v>0</v>
          </cell>
          <cell r="HH147">
            <v>0</v>
          </cell>
          <cell r="HI147">
            <v>0</v>
          </cell>
          <cell r="HK147">
            <v>0</v>
          </cell>
          <cell r="HL147">
            <v>0</v>
          </cell>
          <cell r="HN147">
            <v>0</v>
          </cell>
          <cell r="HO147">
            <v>0</v>
          </cell>
          <cell r="HQ147">
            <v>0</v>
          </cell>
          <cell r="HR147">
            <v>0</v>
          </cell>
          <cell r="HT147">
            <v>0</v>
          </cell>
          <cell r="HU147">
            <v>0</v>
          </cell>
          <cell r="HW147">
            <v>0</v>
          </cell>
          <cell r="HX147">
            <v>0</v>
          </cell>
          <cell r="HZ147">
            <v>0</v>
          </cell>
          <cell r="IA147">
            <v>0</v>
          </cell>
          <cell r="IC147">
            <v>0</v>
          </cell>
          <cell r="ID147">
            <v>0</v>
          </cell>
          <cell r="IF147">
            <v>0</v>
          </cell>
        </row>
        <row r="148">
          <cell r="GP148" t="str">
            <v>Condensate Drains Tank</v>
          </cell>
          <cell r="GQ148">
            <v>0</v>
          </cell>
          <cell r="GS148">
            <v>0</v>
          </cell>
          <cell r="GT148">
            <v>0</v>
          </cell>
          <cell r="GV148">
            <v>0</v>
          </cell>
          <cell r="GW148">
            <v>0</v>
          </cell>
          <cell r="GY148">
            <v>0</v>
          </cell>
          <cell r="GZ148">
            <v>0</v>
          </cell>
          <cell r="HB148">
            <v>0</v>
          </cell>
          <cell r="HC148">
            <v>0</v>
          </cell>
          <cell r="HE148">
            <v>0</v>
          </cell>
          <cell r="HF148">
            <v>0</v>
          </cell>
          <cell r="HH148">
            <v>0</v>
          </cell>
          <cell r="HI148">
            <v>0</v>
          </cell>
          <cell r="HK148">
            <v>0</v>
          </cell>
          <cell r="HL148">
            <v>0</v>
          </cell>
          <cell r="HN148">
            <v>0</v>
          </cell>
          <cell r="HO148">
            <v>0</v>
          </cell>
          <cell r="HQ148">
            <v>0</v>
          </cell>
          <cell r="HR148">
            <v>0</v>
          </cell>
          <cell r="HT148">
            <v>0</v>
          </cell>
          <cell r="HU148">
            <v>0</v>
          </cell>
          <cell r="HW148">
            <v>0</v>
          </cell>
          <cell r="HX148">
            <v>0</v>
          </cell>
          <cell r="HZ148">
            <v>0</v>
          </cell>
          <cell r="IA148">
            <v>0</v>
          </cell>
          <cell r="IC148">
            <v>0</v>
          </cell>
          <cell r="ID148">
            <v>0</v>
          </cell>
          <cell r="IF148">
            <v>0</v>
          </cell>
        </row>
        <row r="149">
          <cell r="GQ149">
            <v>0</v>
          </cell>
          <cell r="GT149">
            <v>0</v>
          </cell>
          <cell r="GW149">
            <v>0</v>
          </cell>
          <cell r="GZ149">
            <v>0</v>
          </cell>
          <cell r="HC149">
            <v>0</v>
          </cell>
          <cell r="HF149">
            <v>0</v>
          </cell>
          <cell r="HI149">
            <v>0</v>
          </cell>
          <cell r="HL149">
            <v>0</v>
          </cell>
          <cell r="HO149">
            <v>0</v>
          </cell>
          <cell r="HR149">
            <v>0</v>
          </cell>
          <cell r="HU149">
            <v>0</v>
          </cell>
          <cell r="HX149">
            <v>0</v>
          </cell>
          <cell r="IA149">
            <v>0</v>
          </cell>
          <cell r="ID149">
            <v>0</v>
          </cell>
        </row>
        <row r="150">
          <cell r="GQ150">
            <v>0</v>
          </cell>
          <cell r="GT150">
            <v>0</v>
          </cell>
          <cell r="GW150">
            <v>0</v>
          </cell>
          <cell r="GZ150">
            <v>0</v>
          </cell>
          <cell r="HC150">
            <v>0</v>
          </cell>
          <cell r="HF150">
            <v>0</v>
          </cell>
          <cell r="HI150">
            <v>0</v>
          </cell>
          <cell r="HL150">
            <v>0</v>
          </cell>
          <cell r="HO150">
            <v>0</v>
          </cell>
          <cell r="HR150">
            <v>0</v>
          </cell>
          <cell r="HU150">
            <v>0</v>
          </cell>
          <cell r="HX150">
            <v>0</v>
          </cell>
          <cell r="IA150">
            <v>0</v>
          </cell>
          <cell r="ID150">
            <v>0</v>
          </cell>
        </row>
        <row r="151">
          <cell r="GQ151">
            <v>0</v>
          </cell>
          <cell r="GT151">
            <v>0</v>
          </cell>
          <cell r="GW151">
            <v>0</v>
          </cell>
          <cell r="GZ151">
            <v>0</v>
          </cell>
          <cell r="HC151">
            <v>0</v>
          </cell>
          <cell r="HF151">
            <v>0</v>
          </cell>
          <cell r="HI151">
            <v>0</v>
          </cell>
          <cell r="HL151">
            <v>0</v>
          </cell>
          <cell r="HO151">
            <v>0</v>
          </cell>
          <cell r="HR151">
            <v>0</v>
          </cell>
          <cell r="HU151">
            <v>0</v>
          </cell>
          <cell r="HX151">
            <v>0</v>
          </cell>
          <cell r="IA151">
            <v>0</v>
          </cell>
          <cell r="ID151">
            <v>0</v>
          </cell>
        </row>
        <row r="152">
          <cell r="GP152" t="str">
            <v>Electric Immersion Heater - Field Fab Tank</v>
          </cell>
          <cell r="GQ152">
            <v>0</v>
          </cell>
          <cell r="GS152">
            <v>0</v>
          </cell>
          <cell r="GT152">
            <v>0</v>
          </cell>
          <cell r="GV152">
            <v>0</v>
          </cell>
          <cell r="GW152">
            <v>0</v>
          </cell>
          <cell r="GY152">
            <v>0</v>
          </cell>
          <cell r="GZ152">
            <v>0</v>
          </cell>
          <cell r="HB152">
            <v>0</v>
          </cell>
          <cell r="HC152">
            <v>0</v>
          </cell>
          <cell r="HE152">
            <v>0</v>
          </cell>
          <cell r="HF152">
            <v>0</v>
          </cell>
          <cell r="HH152">
            <v>0</v>
          </cell>
          <cell r="HI152">
            <v>0</v>
          </cell>
          <cell r="HK152">
            <v>0</v>
          </cell>
          <cell r="HL152">
            <v>0</v>
          </cell>
          <cell r="HN152">
            <v>0</v>
          </cell>
          <cell r="HO152">
            <v>0</v>
          </cell>
          <cell r="HQ152">
            <v>0</v>
          </cell>
          <cell r="HR152">
            <v>0</v>
          </cell>
          <cell r="HT152">
            <v>0</v>
          </cell>
          <cell r="HU152">
            <v>0</v>
          </cell>
          <cell r="HW152">
            <v>0</v>
          </cell>
          <cell r="HX152">
            <v>0</v>
          </cell>
          <cell r="HZ152">
            <v>0</v>
          </cell>
          <cell r="IA152">
            <v>0</v>
          </cell>
          <cell r="IC152">
            <v>0</v>
          </cell>
          <cell r="ID152">
            <v>0</v>
          </cell>
          <cell r="IF152">
            <v>0</v>
          </cell>
        </row>
        <row r="153">
          <cell r="GP153" t="str">
            <v>Electric Immersion Heater - Shop Fab Tank</v>
          </cell>
          <cell r="GQ153">
            <v>0</v>
          </cell>
          <cell r="GS153">
            <v>0</v>
          </cell>
          <cell r="GT153">
            <v>0</v>
          </cell>
          <cell r="GV153">
            <v>0</v>
          </cell>
          <cell r="GW153">
            <v>0</v>
          </cell>
          <cell r="GY153">
            <v>0</v>
          </cell>
          <cell r="GZ153">
            <v>0</v>
          </cell>
          <cell r="HB153">
            <v>0</v>
          </cell>
          <cell r="HC153">
            <v>0</v>
          </cell>
          <cell r="HE153">
            <v>0</v>
          </cell>
          <cell r="HF153">
            <v>0</v>
          </cell>
          <cell r="HH153">
            <v>0</v>
          </cell>
          <cell r="HI153">
            <v>0</v>
          </cell>
          <cell r="HK153">
            <v>0</v>
          </cell>
          <cell r="HL153">
            <v>0</v>
          </cell>
          <cell r="HN153">
            <v>0</v>
          </cell>
          <cell r="HO153">
            <v>0</v>
          </cell>
          <cell r="HQ153">
            <v>0</v>
          </cell>
          <cell r="HR153">
            <v>0</v>
          </cell>
          <cell r="HT153">
            <v>0</v>
          </cell>
          <cell r="HU153">
            <v>0</v>
          </cell>
          <cell r="HW153">
            <v>0</v>
          </cell>
          <cell r="HX153">
            <v>0</v>
          </cell>
          <cell r="HZ153">
            <v>0</v>
          </cell>
          <cell r="IA153">
            <v>0</v>
          </cell>
          <cell r="IC153">
            <v>0</v>
          </cell>
          <cell r="ID153">
            <v>0</v>
          </cell>
          <cell r="IF153">
            <v>0</v>
          </cell>
        </row>
        <row r="154">
          <cell r="GP154" t="str">
            <v>Makeup Water Sand Filter</v>
          </cell>
          <cell r="GQ154">
            <v>0</v>
          </cell>
          <cell r="GS154">
            <v>0</v>
          </cell>
          <cell r="GT154">
            <v>0</v>
          </cell>
          <cell r="GV154">
            <v>0</v>
          </cell>
          <cell r="GW154">
            <v>0</v>
          </cell>
          <cell r="GY154">
            <v>0</v>
          </cell>
          <cell r="GZ154">
            <v>0</v>
          </cell>
          <cell r="HB154">
            <v>0</v>
          </cell>
          <cell r="HC154">
            <v>0</v>
          </cell>
          <cell r="HE154">
            <v>0</v>
          </cell>
          <cell r="HF154">
            <v>0</v>
          </cell>
          <cell r="HH154">
            <v>0</v>
          </cell>
          <cell r="HI154">
            <v>0</v>
          </cell>
          <cell r="HK154">
            <v>0</v>
          </cell>
          <cell r="HL154">
            <v>0</v>
          </cell>
          <cell r="HN154">
            <v>0</v>
          </cell>
          <cell r="HO154">
            <v>0</v>
          </cell>
          <cell r="HQ154">
            <v>0</v>
          </cell>
          <cell r="HR154">
            <v>0</v>
          </cell>
          <cell r="HT154">
            <v>0</v>
          </cell>
          <cell r="HU154">
            <v>0</v>
          </cell>
          <cell r="HW154">
            <v>0</v>
          </cell>
          <cell r="HX154">
            <v>0</v>
          </cell>
          <cell r="HZ154">
            <v>0</v>
          </cell>
          <cell r="IA154">
            <v>0</v>
          </cell>
          <cell r="IC154">
            <v>0</v>
          </cell>
          <cell r="ID154">
            <v>0</v>
          </cell>
          <cell r="IF154">
            <v>0</v>
          </cell>
        </row>
        <row r="155">
          <cell r="GP155" t="str">
            <v xml:space="preserve">Clarifier &amp; Gravity Filters - </v>
          </cell>
          <cell r="GQ155">
            <v>0</v>
          </cell>
          <cell r="GS155">
            <v>0</v>
          </cell>
          <cell r="GT155">
            <v>0</v>
          </cell>
          <cell r="GV155">
            <v>0</v>
          </cell>
          <cell r="GW155">
            <v>0</v>
          </cell>
          <cell r="GY155">
            <v>0</v>
          </cell>
          <cell r="GZ155">
            <v>0</v>
          </cell>
          <cell r="HB155">
            <v>0</v>
          </cell>
          <cell r="HC155">
            <v>0</v>
          </cell>
          <cell r="HE155">
            <v>0</v>
          </cell>
          <cell r="HF155">
            <v>0</v>
          </cell>
          <cell r="HH155">
            <v>0</v>
          </cell>
          <cell r="HI155">
            <v>0</v>
          </cell>
          <cell r="HK155">
            <v>0</v>
          </cell>
          <cell r="HL155">
            <v>0</v>
          </cell>
          <cell r="HN155">
            <v>0</v>
          </cell>
          <cell r="HO155">
            <v>0</v>
          </cell>
          <cell r="HQ155">
            <v>0</v>
          </cell>
          <cell r="HR155">
            <v>0</v>
          </cell>
          <cell r="HT155">
            <v>0</v>
          </cell>
          <cell r="HU155">
            <v>0</v>
          </cell>
          <cell r="HW155">
            <v>0</v>
          </cell>
          <cell r="HX155">
            <v>0</v>
          </cell>
          <cell r="HZ155">
            <v>0</v>
          </cell>
          <cell r="IA155">
            <v>0</v>
          </cell>
          <cell r="IC155">
            <v>0</v>
          </cell>
          <cell r="ID155">
            <v>0</v>
          </cell>
          <cell r="IF155">
            <v>0</v>
          </cell>
        </row>
        <row r="156">
          <cell r="GP156" t="str">
            <v>Gray Water Treatment System</v>
          </cell>
          <cell r="GQ156">
            <v>0</v>
          </cell>
          <cell r="GS156">
            <v>0</v>
          </cell>
          <cell r="GT156">
            <v>0</v>
          </cell>
          <cell r="GV156">
            <v>0</v>
          </cell>
          <cell r="GW156">
            <v>0</v>
          </cell>
          <cell r="GY156">
            <v>0</v>
          </cell>
          <cell r="GZ156">
            <v>0</v>
          </cell>
          <cell r="HB156">
            <v>0</v>
          </cell>
          <cell r="HC156">
            <v>0</v>
          </cell>
          <cell r="HE156">
            <v>0</v>
          </cell>
          <cell r="HF156">
            <v>0</v>
          </cell>
          <cell r="HH156">
            <v>0</v>
          </cell>
          <cell r="HI156">
            <v>0</v>
          </cell>
          <cell r="HK156">
            <v>0</v>
          </cell>
          <cell r="HL156">
            <v>0</v>
          </cell>
          <cell r="HN156">
            <v>0</v>
          </cell>
          <cell r="HO156">
            <v>0</v>
          </cell>
          <cell r="HQ156">
            <v>0</v>
          </cell>
          <cell r="HR156">
            <v>0</v>
          </cell>
          <cell r="HT156">
            <v>0</v>
          </cell>
          <cell r="HU156">
            <v>0</v>
          </cell>
          <cell r="HW156">
            <v>0</v>
          </cell>
          <cell r="HX156">
            <v>0</v>
          </cell>
          <cell r="HZ156">
            <v>0</v>
          </cell>
          <cell r="IA156">
            <v>0</v>
          </cell>
          <cell r="IC156">
            <v>0</v>
          </cell>
          <cell r="ID156">
            <v>0</v>
          </cell>
          <cell r="IF156">
            <v>0</v>
          </cell>
        </row>
        <row r="157">
          <cell r="GP157" t="str">
            <v xml:space="preserve">Desalination System - </v>
          </cell>
          <cell r="GQ157">
            <v>0</v>
          </cell>
          <cell r="GS157">
            <v>0</v>
          </cell>
          <cell r="GT157">
            <v>0</v>
          </cell>
          <cell r="GV157">
            <v>0</v>
          </cell>
          <cell r="GW157">
            <v>0</v>
          </cell>
          <cell r="GY157">
            <v>0</v>
          </cell>
          <cell r="GZ157">
            <v>0</v>
          </cell>
          <cell r="HB157">
            <v>0</v>
          </cell>
          <cell r="HC157">
            <v>0</v>
          </cell>
          <cell r="HE157">
            <v>0</v>
          </cell>
          <cell r="HF157">
            <v>0</v>
          </cell>
          <cell r="HH157">
            <v>0</v>
          </cell>
          <cell r="HI157">
            <v>0</v>
          </cell>
          <cell r="HK157">
            <v>0</v>
          </cell>
          <cell r="HL157">
            <v>0</v>
          </cell>
          <cell r="HN157">
            <v>0</v>
          </cell>
          <cell r="HO157">
            <v>0</v>
          </cell>
          <cell r="HQ157">
            <v>0</v>
          </cell>
          <cell r="HR157">
            <v>0</v>
          </cell>
          <cell r="HT157">
            <v>0</v>
          </cell>
          <cell r="HU157">
            <v>0</v>
          </cell>
          <cell r="HW157">
            <v>0</v>
          </cell>
          <cell r="HX157">
            <v>0</v>
          </cell>
          <cell r="HZ157">
            <v>0</v>
          </cell>
          <cell r="IA157">
            <v>0</v>
          </cell>
          <cell r="IC157">
            <v>0</v>
          </cell>
          <cell r="ID157">
            <v>0</v>
          </cell>
          <cell r="IF157">
            <v>0</v>
          </cell>
        </row>
        <row r="158">
          <cell r="GP158" t="str">
            <v>2-Stage Reverse Osmosis, Electrodeionization (RO/EDI) Water Treatment System</v>
          </cell>
          <cell r="GQ158">
            <v>0</v>
          </cell>
          <cell r="GS158">
            <v>0</v>
          </cell>
          <cell r="GT158">
            <v>0</v>
          </cell>
          <cell r="GV158">
            <v>0</v>
          </cell>
          <cell r="GW158">
            <v>0</v>
          </cell>
          <cell r="GY158">
            <v>0</v>
          </cell>
          <cell r="GZ158">
            <v>0</v>
          </cell>
          <cell r="HB158">
            <v>0</v>
          </cell>
          <cell r="HC158">
            <v>0</v>
          </cell>
          <cell r="HE158">
            <v>0</v>
          </cell>
          <cell r="HF158">
            <v>0</v>
          </cell>
          <cell r="HH158">
            <v>0</v>
          </cell>
          <cell r="HI158">
            <v>0</v>
          </cell>
          <cell r="HK158">
            <v>0</v>
          </cell>
          <cell r="HL158">
            <v>0</v>
          </cell>
          <cell r="HN158">
            <v>0</v>
          </cell>
          <cell r="HO158">
            <v>0</v>
          </cell>
          <cell r="HQ158">
            <v>0</v>
          </cell>
          <cell r="HR158">
            <v>0</v>
          </cell>
          <cell r="HT158">
            <v>0</v>
          </cell>
          <cell r="HU158">
            <v>0</v>
          </cell>
          <cell r="HW158">
            <v>0</v>
          </cell>
          <cell r="HX158">
            <v>0</v>
          </cell>
          <cell r="HZ158">
            <v>0</v>
          </cell>
          <cell r="IA158">
            <v>0</v>
          </cell>
          <cell r="IC158">
            <v>0</v>
          </cell>
          <cell r="ID158">
            <v>0</v>
          </cell>
          <cell r="IF158">
            <v>0</v>
          </cell>
        </row>
        <row r="159">
          <cell r="GP159" t="str">
            <v>Coagulant Feed System. Supplied with RO Water Treatment System.</v>
          </cell>
          <cell r="GS159">
            <v>0</v>
          </cell>
          <cell r="GV159">
            <v>0</v>
          </cell>
          <cell r="GY159">
            <v>0</v>
          </cell>
          <cell r="HB159">
            <v>0</v>
          </cell>
          <cell r="HE159">
            <v>0</v>
          </cell>
          <cell r="HH159">
            <v>0</v>
          </cell>
          <cell r="HK159">
            <v>0</v>
          </cell>
          <cell r="HN159">
            <v>0</v>
          </cell>
          <cell r="HQ159">
            <v>0</v>
          </cell>
          <cell r="HT159">
            <v>0</v>
          </cell>
          <cell r="HW159">
            <v>0</v>
          </cell>
          <cell r="HZ159">
            <v>0</v>
          </cell>
          <cell r="IC159">
            <v>0</v>
          </cell>
          <cell r="IF159">
            <v>0</v>
          </cell>
        </row>
        <row r="160">
          <cell r="GP160" t="str">
            <v>Air Scour Blowers. Supplied with RO Water Treatment System.</v>
          </cell>
          <cell r="GS160">
            <v>0</v>
          </cell>
          <cell r="GV160">
            <v>0</v>
          </cell>
          <cell r="GY160">
            <v>0</v>
          </cell>
          <cell r="HB160">
            <v>0</v>
          </cell>
          <cell r="HE160">
            <v>0</v>
          </cell>
          <cell r="HH160">
            <v>0</v>
          </cell>
          <cell r="HK160">
            <v>0</v>
          </cell>
          <cell r="HN160">
            <v>0</v>
          </cell>
          <cell r="HQ160">
            <v>0</v>
          </cell>
          <cell r="HT160">
            <v>0</v>
          </cell>
          <cell r="HW160">
            <v>0</v>
          </cell>
          <cell r="HZ160">
            <v>0</v>
          </cell>
          <cell r="IC160">
            <v>0</v>
          </cell>
          <cell r="IF160">
            <v>0</v>
          </cell>
        </row>
        <row r="161">
          <cell r="GP161" t="str">
            <v>Backwash Pumps.  Supplied with RO Water Treatment System.</v>
          </cell>
          <cell r="GS161">
            <v>0</v>
          </cell>
          <cell r="GV161">
            <v>0</v>
          </cell>
          <cell r="GY161">
            <v>0</v>
          </cell>
          <cell r="HB161">
            <v>0</v>
          </cell>
          <cell r="HE161">
            <v>0</v>
          </cell>
          <cell r="HH161">
            <v>0</v>
          </cell>
          <cell r="HK161">
            <v>0</v>
          </cell>
          <cell r="HN161">
            <v>0</v>
          </cell>
          <cell r="HQ161">
            <v>0</v>
          </cell>
          <cell r="HT161">
            <v>0</v>
          </cell>
          <cell r="HW161">
            <v>0</v>
          </cell>
          <cell r="HZ161">
            <v>0</v>
          </cell>
          <cell r="IC161">
            <v>0</v>
          </cell>
          <cell r="IF161">
            <v>0</v>
          </cell>
        </row>
        <row r="162">
          <cell r="GP162" t="str">
            <v>RO Clean in Place (CIP) Skid.  Supplied with RO Water Treatment System.</v>
          </cell>
          <cell r="GS162">
            <v>0</v>
          </cell>
          <cell r="GV162">
            <v>0</v>
          </cell>
          <cell r="GY162">
            <v>0</v>
          </cell>
          <cell r="HB162">
            <v>0</v>
          </cell>
          <cell r="HE162">
            <v>0</v>
          </cell>
          <cell r="HH162">
            <v>0</v>
          </cell>
          <cell r="HK162">
            <v>0</v>
          </cell>
          <cell r="HN162">
            <v>0</v>
          </cell>
          <cell r="HQ162">
            <v>0</v>
          </cell>
          <cell r="HT162">
            <v>0</v>
          </cell>
          <cell r="HW162">
            <v>0</v>
          </cell>
          <cell r="HZ162">
            <v>0</v>
          </cell>
          <cell r="IC162">
            <v>0</v>
          </cell>
          <cell r="IF162">
            <v>0</v>
          </cell>
        </row>
        <row r="163">
          <cell r="GP163" t="str">
            <v>RO 25% Caustic Feed System.  Supplied with RO Water Treatment System.</v>
          </cell>
          <cell r="GS163">
            <v>0</v>
          </cell>
          <cell r="GV163">
            <v>0</v>
          </cell>
          <cell r="GY163">
            <v>0</v>
          </cell>
          <cell r="HB163">
            <v>0</v>
          </cell>
          <cell r="HE163">
            <v>0</v>
          </cell>
          <cell r="HH163">
            <v>0</v>
          </cell>
          <cell r="HK163">
            <v>0</v>
          </cell>
          <cell r="HN163">
            <v>0</v>
          </cell>
          <cell r="HQ163">
            <v>0</v>
          </cell>
          <cell r="HT163">
            <v>0</v>
          </cell>
          <cell r="HW163">
            <v>0</v>
          </cell>
          <cell r="HZ163">
            <v>0</v>
          </cell>
          <cell r="IC163">
            <v>0</v>
          </cell>
          <cell r="IF163">
            <v>0</v>
          </cell>
        </row>
        <row r="164">
          <cell r="GP164" t="str">
            <v>RO Bisulfite System (Dechlorination).   Supplied with RO Water Treatment System.</v>
          </cell>
          <cell r="GS164">
            <v>0</v>
          </cell>
          <cell r="GV164">
            <v>0</v>
          </cell>
          <cell r="GY164">
            <v>0</v>
          </cell>
          <cell r="HB164">
            <v>0</v>
          </cell>
          <cell r="HE164">
            <v>0</v>
          </cell>
          <cell r="HH164">
            <v>0</v>
          </cell>
          <cell r="HK164">
            <v>0</v>
          </cell>
          <cell r="HN164">
            <v>0</v>
          </cell>
          <cell r="HQ164">
            <v>0</v>
          </cell>
          <cell r="HT164">
            <v>0</v>
          </cell>
          <cell r="HW164">
            <v>0</v>
          </cell>
          <cell r="HZ164">
            <v>0</v>
          </cell>
          <cell r="IC164">
            <v>0</v>
          </cell>
          <cell r="IF164">
            <v>0</v>
          </cell>
        </row>
        <row r="165">
          <cell r="GP165" t="str">
            <v>RO Antiscalant Feed System.  Supplied with RO Water Treatment System.</v>
          </cell>
          <cell r="GS165">
            <v>0</v>
          </cell>
          <cell r="GV165">
            <v>0</v>
          </cell>
          <cell r="GY165">
            <v>0</v>
          </cell>
          <cell r="HB165">
            <v>0</v>
          </cell>
          <cell r="HE165">
            <v>0</v>
          </cell>
          <cell r="HH165">
            <v>0</v>
          </cell>
          <cell r="HK165">
            <v>0</v>
          </cell>
          <cell r="HN165">
            <v>0</v>
          </cell>
          <cell r="HQ165">
            <v>0</v>
          </cell>
          <cell r="HT165">
            <v>0</v>
          </cell>
          <cell r="HW165">
            <v>0</v>
          </cell>
          <cell r="HZ165">
            <v>0</v>
          </cell>
          <cell r="IC165">
            <v>0</v>
          </cell>
          <cell r="IF165">
            <v>0</v>
          </cell>
        </row>
        <row r="166">
          <cell r="GP166" t="str">
            <v>Multimedia Filters with Booster Pumps.   Supplied with RO Water Treatment System.</v>
          </cell>
          <cell r="GS166">
            <v>0</v>
          </cell>
          <cell r="GV166">
            <v>0</v>
          </cell>
          <cell r="GY166">
            <v>0</v>
          </cell>
          <cell r="HB166">
            <v>0</v>
          </cell>
          <cell r="HE166">
            <v>0</v>
          </cell>
          <cell r="HH166">
            <v>0</v>
          </cell>
          <cell r="HK166">
            <v>0</v>
          </cell>
          <cell r="HN166">
            <v>0</v>
          </cell>
          <cell r="HQ166">
            <v>0</v>
          </cell>
          <cell r="HT166">
            <v>0</v>
          </cell>
          <cell r="HW166">
            <v>0</v>
          </cell>
          <cell r="HZ166">
            <v>0</v>
          </cell>
          <cell r="IC166">
            <v>0</v>
          </cell>
          <cell r="IF166">
            <v>0</v>
          </cell>
        </row>
        <row r="167">
          <cell r="GP167" t="str">
            <v>RO Cartridge Filter.  Supplied with RO Water Treatment System.</v>
          </cell>
          <cell r="GS167">
            <v>0</v>
          </cell>
          <cell r="GV167">
            <v>0</v>
          </cell>
          <cell r="GY167">
            <v>0</v>
          </cell>
          <cell r="HB167">
            <v>0</v>
          </cell>
          <cell r="HE167">
            <v>0</v>
          </cell>
          <cell r="HH167">
            <v>0</v>
          </cell>
          <cell r="HK167">
            <v>0</v>
          </cell>
          <cell r="HN167">
            <v>0</v>
          </cell>
          <cell r="HQ167">
            <v>0</v>
          </cell>
          <cell r="HT167">
            <v>0</v>
          </cell>
          <cell r="HW167">
            <v>0</v>
          </cell>
          <cell r="HZ167">
            <v>0</v>
          </cell>
          <cell r="IC167">
            <v>0</v>
          </cell>
          <cell r="IF167">
            <v>0</v>
          </cell>
        </row>
        <row r="168">
          <cell r="GP168" t="str">
            <v>Reverse Osmosis 1st Pass Pumps.  Supplied with RO Water Treatment System.</v>
          </cell>
          <cell r="GS168">
            <v>0</v>
          </cell>
          <cell r="GV168">
            <v>0</v>
          </cell>
          <cell r="GY168">
            <v>0</v>
          </cell>
          <cell r="HB168">
            <v>0</v>
          </cell>
          <cell r="HE168">
            <v>0</v>
          </cell>
          <cell r="HH168">
            <v>0</v>
          </cell>
          <cell r="HK168">
            <v>0</v>
          </cell>
          <cell r="HN168">
            <v>0</v>
          </cell>
          <cell r="HQ168">
            <v>0</v>
          </cell>
          <cell r="HT168">
            <v>0</v>
          </cell>
          <cell r="HW168">
            <v>0</v>
          </cell>
          <cell r="HZ168">
            <v>0</v>
          </cell>
          <cell r="IC168">
            <v>0</v>
          </cell>
          <cell r="IF168">
            <v>0</v>
          </cell>
        </row>
        <row r="169">
          <cell r="GP169" t="str">
            <v>1st Pass RO Membrane Bank</v>
          </cell>
          <cell r="GS169">
            <v>0</v>
          </cell>
          <cell r="GV169">
            <v>0</v>
          </cell>
          <cell r="GY169">
            <v>0</v>
          </cell>
          <cell r="HB169">
            <v>0</v>
          </cell>
          <cell r="HE169">
            <v>0</v>
          </cell>
          <cell r="HH169">
            <v>0</v>
          </cell>
          <cell r="HK169">
            <v>0</v>
          </cell>
          <cell r="HN169">
            <v>0</v>
          </cell>
          <cell r="HQ169">
            <v>0</v>
          </cell>
          <cell r="HT169">
            <v>0</v>
          </cell>
          <cell r="HW169">
            <v>0</v>
          </cell>
          <cell r="HZ169">
            <v>0</v>
          </cell>
          <cell r="IC169">
            <v>0</v>
          </cell>
          <cell r="IF169">
            <v>0</v>
          </cell>
        </row>
        <row r="170">
          <cell r="GP170" t="str">
            <v>RO 1st Pass Break Tank. Supplied with RO Water Treatment System.</v>
          </cell>
          <cell r="GS170">
            <v>0</v>
          </cell>
          <cell r="GV170">
            <v>0</v>
          </cell>
          <cell r="GY170">
            <v>0</v>
          </cell>
          <cell r="HB170">
            <v>0</v>
          </cell>
          <cell r="HE170">
            <v>0</v>
          </cell>
          <cell r="HH170">
            <v>0</v>
          </cell>
          <cell r="HK170">
            <v>0</v>
          </cell>
          <cell r="HN170">
            <v>0</v>
          </cell>
          <cell r="HQ170">
            <v>0</v>
          </cell>
          <cell r="HT170">
            <v>0</v>
          </cell>
          <cell r="HW170">
            <v>0</v>
          </cell>
          <cell r="HZ170">
            <v>0</v>
          </cell>
          <cell r="IC170">
            <v>0</v>
          </cell>
          <cell r="IF170">
            <v>0</v>
          </cell>
        </row>
        <row r="171">
          <cell r="GP171" t="str">
            <v>Reverse Osmosis 2nd Pass Pumps.  Supplied with RO Water Treatment System.</v>
          </cell>
          <cell r="GS171">
            <v>0</v>
          </cell>
          <cell r="GV171">
            <v>0</v>
          </cell>
          <cell r="GY171">
            <v>0</v>
          </cell>
          <cell r="HB171">
            <v>0</v>
          </cell>
          <cell r="HE171">
            <v>0</v>
          </cell>
          <cell r="HH171">
            <v>0</v>
          </cell>
          <cell r="HK171">
            <v>0</v>
          </cell>
          <cell r="HN171">
            <v>0</v>
          </cell>
          <cell r="HQ171">
            <v>0</v>
          </cell>
          <cell r="HT171">
            <v>0</v>
          </cell>
          <cell r="HW171">
            <v>0</v>
          </cell>
          <cell r="HZ171">
            <v>0</v>
          </cell>
          <cell r="IC171">
            <v>0</v>
          </cell>
          <cell r="IF171">
            <v>0</v>
          </cell>
        </row>
        <row r="172">
          <cell r="GP172" t="str">
            <v>2nd Pass RO Membrane Bank</v>
          </cell>
          <cell r="GS172">
            <v>0</v>
          </cell>
          <cell r="GV172">
            <v>0</v>
          </cell>
          <cell r="GY172">
            <v>0</v>
          </cell>
          <cell r="HB172">
            <v>0</v>
          </cell>
          <cell r="HE172">
            <v>0</v>
          </cell>
          <cell r="HH172">
            <v>0</v>
          </cell>
          <cell r="HK172">
            <v>0</v>
          </cell>
          <cell r="HN172">
            <v>0</v>
          </cell>
          <cell r="HQ172">
            <v>0</v>
          </cell>
          <cell r="HT172">
            <v>0</v>
          </cell>
          <cell r="HW172">
            <v>0</v>
          </cell>
          <cell r="HZ172">
            <v>0</v>
          </cell>
          <cell r="IC172">
            <v>0</v>
          </cell>
          <cell r="IF172">
            <v>0</v>
          </cell>
        </row>
        <row r="173">
          <cell r="GP173" t="str">
            <v>EDI Units. Supplied with RO Water Treatment System.</v>
          </cell>
          <cell r="GS173">
            <v>0</v>
          </cell>
          <cell r="GV173">
            <v>0</v>
          </cell>
          <cell r="GY173">
            <v>0</v>
          </cell>
          <cell r="HB173">
            <v>0</v>
          </cell>
          <cell r="HE173">
            <v>0</v>
          </cell>
          <cell r="HH173">
            <v>0</v>
          </cell>
          <cell r="HK173">
            <v>0</v>
          </cell>
          <cell r="HN173">
            <v>0</v>
          </cell>
          <cell r="HQ173">
            <v>0</v>
          </cell>
          <cell r="HT173">
            <v>0</v>
          </cell>
          <cell r="HW173">
            <v>0</v>
          </cell>
          <cell r="HZ173">
            <v>0</v>
          </cell>
          <cell r="IC173">
            <v>0</v>
          </cell>
          <cell r="IF173">
            <v>0</v>
          </cell>
        </row>
        <row r="174">
          <cell r="GP174" t="str">
            <v>Rental Demineralizer</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v>
          </cell>
          <cell r="HE174">
            <v>0</v>
          </cell>
          <cell r="HF174">
            <v>0</v>
          </cell>
          <cell r="HG174">
            <v>0</v>
          </cell>
          <cell r="HH174">
            <v>0</v>
          </cell>
          <cell r="HI174">
            <v>0</v>
          </cell>
          <cell r="HJ174">
            <v>0</v>
          </cell>
          <cell r="HK174">
            <v>0</v>
          </cell>
          <cell r="HL174">
            <v>0</v>
          </cell>
          <cell r="HM174">
            <v>0</v>
          </cell>
          <cell r="HN174">
            <v>0</v>
          </cell>
          <cell r="HO174">
            <v>0</v>
          </cell>
          <cell r="HP174">
            <v>0</v>
          </cell>
          <cell r="HQ174">
            <v>0</v>
          </cell>
          <cell r="HR174">
            <v>0</v>
          </cell>
          <cell r="HS174">
            <v>0</v>
          </cell>
          <cell r="HT174">
            <v>0</v>
          </cell>
          <cell r="HU174">
            <v>0</v>
          </cell>
          <cell r="HV174">
            <v>0</v>
          </cell>
          <cell r="HW174">
            <v>0</v>
          </cell>
          <cell r="HX174">
            <v>0</v>
          </cell>
          <cell r="HY174">
            <v>0</v>
          </cell>
          <cell r="HZ174">
            <v>0</v>
          </cell>
          <cell r="IA174">
            <v>0</v>
          </cell>
          <cell r="IB174">
            <v>0</v>
          </cell>
          <cell r="IC174">
            <v>0</v>
          </cell>
          <cell r="ID174">
            <v>0</v>
          </cell>
          <cell r="IE174">
            <v>0</v>
          </cell>
          <cell r="IF174">
            <v>0</v>
          </cell>
        </row>
        <row r="175">
          <cell r="GP175" t="str">
            <v xml:space="preserve">Condensate Polisher - </v>
          </cell>
          <cell r="GQ175">
            <v>0</v>
          </cell>
          <cell r="GS175">
            <v>0</v>
          </cell>
          <cell r="GT175">
            <v>0</v>
          </cell>
          <cell r="GV175">
            <v>0</v>
          </cell>
          <cell r="GW175">
            <v>0</v>
          </cell>
          <cell r="GY175">
            <v>0</v>
          </cell>
          <cell r="GZ175">
            <v>0</v>
          </cell>
          <cell r="HB175">
            <v>0</v>
          </cell>
          <cell r="HC175">
            <v>0</v>
          </cell>
          <cell r="HE175">
            <v>0</v>
          </cell>
          <cell r="HF175">
            <v>0</v>
          </cell>
          <cell r="HH175">
            <v>0</v>
          </cell>
          <cell r="HI175">
            <v>0</v>
          </cell>
          <cell r="HK175">
            <v>0</v>
          </cell>
          <cell r="HL175">
            <v>0</v>
          </cell>
          <cell r="HN175">
            <v>0</v>
          </cell>
          <cell r="HO175">
            <v>0</v>
          </cell>
          <cell r="HQ175">
            <v>0</v>
          </cell>
          <cell r="HR175">
            <v>0</v>
          </cell>
          <cell r="HT175">
            <v>0</v>
          </cell>
          <cell r="HU175">
            <v>0</v>
          </cell>
          <cell r="HW175">
            <v>0</v>
          </cell>
          <cell r="HX175">
            <v>0</v>
          </cell>
          <cell r="HZ175">
            <v>0</v>
          </cell>
          <cell r="IA175">
            <v>0</v>
          </cell>
          <cell r="IC175">
            <v>0</v>
          </cell>
          <cell r="ID175">
            <v>0</v>
          </cell>
          <cell r="IF175">
            <v>0</v>
          </cell>
        </row>
        <row r="176">
          <cell r="GP176" t="str">
            <v xml:space="preserve">Zero Liquid Discharge (ZLD) System - </v>
          </cell>
          <cell r="GQ176">
            <v>0</v>
          </cell>
          <cell r="GS176">
            <v>0</v>
          </cell>
          <cell r="GT176">
            <v>0</v>
          </cell>
          <cell r="GV176">
            <v>0</v>
          </cell>
          <cell r="GW176">
            <v>0</v>
          </cell>
          <cell r="GY176">
            <v>0</v>
          </cell>
          <cell r="GZ176">
            <v>0</v>
          </cell>
          <cell r="HB176">
            <v>0</v>
          </cell>
          <cell r="HC176">
            <v>0</v>
          </cell>
          <cell r="HE176">
            <v>0</v>
          </cell>
          <cell r="HF176">
            <v>0</v>
          </cell>
          <cell r="HH176">
            <v>0</v>
          </cell>
          <cell r="HI176">
            <v>0</v>
          </cell>
          <cell r="HK176">
            <v>0</v>
          </cell>
          <cell r="HL176">
            <v>0</v>
          </cell>
          <cell r="HN176">
            <v>0</v>
          </cell>
          <cell r="HO176">
            <v>0</v>
          </cell>
          <cell r="HQ176">
            <v>0</v>
          </cell>
          <cell r="HR176">
            <v>0</v>
          </cell>
          <cell r="HT176">
            <v>0</v>
          </cell>
          <cell r="HU176">
            <v>0</v>
          </cell>
          <cell r="HW176">
            <v>0</v>
          </cell>
          <cell r="HX176">
            <v>0</v>
          </cell>
          <cell r="HZ176">
            <v>0</v>
          </cell>
          <cell r="IA176">
            <v>0</v>
          </cell>
          <cell r="IC176">
            <v>0</v>
          </cell>
          <cell r="ID176">
            <v>0</v>
          </cell>
          <cell r="IF176">
            <v>0</v>
          </cell>
        </row>
        <row r="177">
          <cell r="GP177" t="str">
            <v>Waste Water Neutralization System</v>
          </cell>
          <cell r="GQ177">
            <v>0</v>
          </cell>
          <cell r="GS177">
            <v>0</v>
          </cell>
          <cell r="GT177">
            <v>0</v>
          </cell>
          <cell r="GV177">
            <v>0</v>
          </cell>
          <cell r="GW177">
            <v>0</v>
          </cell>
          <cell r="GY177">
            <v>0</v>
          </cell>
          <cell r="GZ177">
            <v>0</v>
          </cell>
          <cell r="HB177">
            <v>0</v>
          </cell>
          <cell r="HC177">
            <v>0</v>
          </cell>
          <cell r="HE177">
            <v>0</v>
          </cell>
          <cell r="HF177">
            <v>0</v>
          </cell>
          <cell r="HH177">
            <v>0</v>
          </cell>
          <cell r="HI177">
            <v>0</v>
          </cell>
          <cell r="HK177">
            <v>0</v>
          </cell>
          <cell r="HL177">
            <v>0</v>
          </cell>
          <cell r="HN177">
            <v>0</v>
          </cell>
          <cell r="HO177">
            <v>0</v>
          </cell>
          <cell r="HQ177">
            <v>0</v>
          </cell>
          <cell r="HR177">
            <v>0</v>
          </cell>
          <cell r="HT177">
            <v>0</v>
          </cell>
          <cell r="HU177">
            <v>0</v>
          </cell>
          <cell r="HW177">
            <v>0</v>
          </cell>
          <cell r="HX177">
            <v>0</v>
          </cell>
          <cell r="HZ177">
            <v>0</v>
          </cell>
          <cell r="IA177">
            <v>0</v>
          </cell>
          <cell r="IC177">
            <v>0</v>
          </cell>
          <cell r="ID177">
            <v>0</v>
          </cell>
          <cell r="IF177">
            <v>0</v>
          </cell>
        </row>
        <row r="178">
          <cell r="GP178" t="str">
            <v>Dewatering System</v>
          </cell>
          <cell r="GQ178">
            <v>0</v>
          </cell>
          <cell r="GS178">
            <v>0</v>
          </cell>
          <cell r="GT178">
            <v>0</v>
          </cell>
          <cell r="GV178">
            <v>0</v>
          </cell>
          <cell r="GW178">
            <v>0</v>
          </cell>
          <cell r="GY178">
            <v>0</v>
          </cell>
          <cell r="GZ178">
            <v>0</v>
          </cell>
          <cell r="HB178">
            <v>0</v>
          </cell>
          <cell r="HC178">
            <v>0</v>
          </cell>
          <cell r="HE178">
            <v>0</v>
          </cell>
          <cell r="HF178">
            <v>0</v>
          </cell>
          <cell r="HH178">
            <v>0</v>
          </cell>
          <cell r="HI178">
            <v>0</v>
          </cell>
          <cell r="HK178">
            <v>0</v>
          </cell>
          <cell r="HL178">
            <v>0</v>
          </cell>
          <cell r="HN178">
            <v>0</v>
          </cell>
          <cell r="HO178">
            <v>0</v>
          </cell>
          <cell r="HQ178">
            <v>0</v>
          </cell>
          <cell r="HR178">
            <v>0</v>
          </cell>
          <cell r="HT178">
            <v>0</v>
          </cell>
          <cell r="HU178">
            <v>0</v>
          </cell>
          <cell r="HW178">
            <v>0</v>
          </cell>
          <cell r="HX178">
            <v>0</v>
          </cell>
          <cell r="HZ178">
            <v>0</v>
          </cell>
          <cell r="IA178">
            <v>0</v>
          </cell>
          <cell r="IC178">
            <v>0</v>
          </cell>
          <cell r="ID178">
            <v>0</v>
          </cell>
          <cell r="IF178">
            <v>0</v>
          </cell>
        </row>
        <row r="179">
          <cell r="GP179" t="str">
            <v>Sodium Bisulfite System (Dechlorination)</v>
          </cell>
          <cell r="GQ179">
            <v>0</v>
          </cell>
          <cell r="GS179">
            <v>0</v>
          </cell>
          <cell r="GT179">
            <v>0</v>
          </cell>
          <cell r="GV179">
            <v>0</v>
          </cell>
          <cell r="GW179">
            <v>0</v>
          </cell>
          <cell r="GY179">
            <v>0</v>
          </cell>
          <cell r="GZ179">
            <v>0</v>
          </cell>
          <cell r="HB179">
            <v>0</v>
          </cell>
          <cell r="HC179">
            <v>0</v>
          </cell>
          <cell r="HE179">
            <v>0</v>
          </cell>
          <cell r="HF179">
            <v>0</v>
          </cell>
          <cell r="HH179">
            <v>0</v>
          </cell>
          <cell r="HI179">
            <v>0</v>
          </cell>
          <cell r="HK179">
            <v>0</v>
          </cell>
          <cell r="HL179">
            <v>0</v>
          </cell>
          <cell r="HN179">
            <v>0</v>
          </cell>
          <cell r="HO179">
            <v>0</v>
          </cell>
          <cell r="HQ179">
            <v>0</v>
          </cell>
          <cell r="HR179">
            <v>0</v>
          </cell>
          <cell r="HT179">
            <v>0</v>
          </cell>
          <cell r="HU179">
            <v>0</v>
          </cell>
          <cell r="HW179">
            <v>0</v>
          </cell>
          <cell r="HX179">
            <v>0</v>
          </cell>
          <cell r="HZ179">
            <v>0</v>
          </cell>
          <cell r="IA179">
            <v>0</v>
          </cell>
          <cell r="IC179">
            <v>0</v>
          </cell>
          <cell r="ID179">
            <v>0</v>
          </cell>
          <cell r="IF179">
            <v>0</v>
          </cell>
        </row>
        <row r="180">
          <cell r="GP180" t="str">
            <v>Ammonia Feed Skid, HRSG Treatment</v>
          </cell>
          <cell r="GQ180">
            <v>0</v>
          </cell>
          <cell r="GS180">
            <v>0</v>
          </cell>
          <cell r="GT180">
            <v>0</v>
          </cell>
          <cell r="GV180">
            <v>0</v>
          </cell>
          <cell r="GW180">
            <v>0</v>
          </cell>
          <cell r="GY180">
            <v>0</v>
          </cell>
          <cell r="GZ180">
            <v>0</v>
          </cell>
          <cell r="HB180">
            <v>0</v>
          </cell>
          <cell r="HC180">
            <v>0</v>
          </cell>
          <cell r="HE180">
            <v>0</v>
          </cell>
          <cell r="HF180">
            <v>0</v>
          </cell>
          <cell r="HH180">
            <v>0</v>
          </cell>
          <cell r="HI180">
            <v>0</v>
          </cell>
          <cell r="HK180">
            <v>0</v>
          </cell>
          <cell r="HL180">
            <v>0</v>
          </cell>
          <cell r="HN180">
            <v>0</v>
          </cell>
          <cell r="HO180">
            <v>0</v>
          </cell>
          <cell r="HQ180">
            <v>0</v>
          </cell>
          <cell r="HR180">
            <v>0</v>
          </cell>
          <cell r="HT180">
            <v>0</v>
          </cell>
          <cell r="HU180">
            <v>0</v>
          </cell>
          <cell r="HW180">
            <v>0</v>
          </cell>
          <cell r="HX180">
            <v>0</v>
          </cell>
          <cell r="HZ180">
            <v>0</v>
          </cell>
          <cell r="IA180">
            <v>0</v>
          </cell>
          <cell r="IC180">
            <v>0</v>
          </cell>
          <cell r="ID180">
            <v>0</v>
          </cell>
          <cell r="IF180">
            <v>0</v>
          </cell>
        </row>
        <row r="181">
          <cell r="GP181" t="str">
            <v>Phosphate Feed Skid, HRSG Treatment</v>
          </cell>
          <cell r="GQ181">
            <v>0</v>
          </cell>
          <cell r="GS181">
            <v>0</v>
          </cell>
          <cell r="GT181">
            <v>0</v>
          </cell>
          <cell r="GV181">
            <v>0</v>
          </cell>
          <cell r="GW181">
            <v>0</v>
          </cell>
          <cell r="GY181">
            <v>0</v>
          </cell>
          <cell r="GZ181">
            <v>0</v>
          </cell>
          <cell r="HB181">
            <v>0</v>
          </cell>
          <cell r="HC181">
            <v>0</v>
          </cell>
          <cell r="HE181">
            <v>0</v>
          </cell>
          <cell r="HF181">
            <v>0</v>
          </cell>
          <cell r="HH181">
            <v>0</v>
          </cell>
          <cell r="HI181">
            <v>0</v>
          </cell>
          <cell r="HK181">
            <v>0</v>
          </cell>
          <cell r="HL181">
            <v>0</v>
          </cell>
          <cell r="HN181">
            <v>0</v>
          </cell>
          <cell r="HO181">
            <v>0</v>
          </cell>
          <cell r="HQ181">
            <v>0</v>
          </cell>
          <cell r="HR181">
            <v>0</v>
          </cell>
          <cell r="HT181">
            <v>0</v>
          </cell>
          <cell r="HU181">
            <v>0</v>
          </cell>
          <cell r="HW181">
            <v>0</v>
          </cell>
          <cell r="HX181">
            <v>0</v>
          </cell>
          <cell r="HZ181">
            <v>0</v>
          </cell>
          <cell r="IA181">
            <v>0</v>
          </cell>
          <cell r="IC181">
            <v>0</v>
          </cell>
          <cell r="ID181">
            <v>0</v>
          </cell>
          <cell r="IF181">
            <v>0</v>
          </cell>
        </row>
        <row r="182">
          <cell r="GP182" t="str">
            <v>Acid Feed Skid, Circulating Water Treatment</v>
          </cell>
          <cell r="GQ182">
            <v>0</v>
          </cell>
          <cell r="GS182">
            <v>0</v>
          </cell>
          <cell r="GT182">
            <v>0</v>
          </cell>
          <cell r="GV182">
            <v>0</v>
          </cell>
          <cell r="GW182">
            <v>0</v>
          </cell>
          <cell r="GY182">
            <v>0</v>
          </cell>
          <cell r="GZ182">
            <v>0</v>
          </cell>
          <cell r="HB182">
            <v>0</v>
          </cell>
          <cell r="HC182">
            <v>0</v>
          </cell>
          <cell r="HE182">
            <v>0</v>
          </cell>
          <cell r="HF182">
            <v>0</v>
          </cell>
          <cell r="HH182">
            <v>0</v>
          </cell>
          <cell r="HI182">
            <v>0</v>
          </cell>
          <cell r="HK182">
            <v>0</v>
          </cell>
          <cell r="HL182">
            <v>0</v>
          </cell>
          <cell r="HN182">
            <v>0</v>
          </cell>
          <cell r="HO182">
            <v>0</v>
          </cell>
          <cell r="HQ182">
            <v>0</v>
          </cell>
          <cell r="HR182">
            <v>0</v>
          </cell>
          <cell r="HT182">
            <v>0</v>
          </cell>
          <cell r="HU182">
            <v>0</v>
          </cell>
          <cell r="HW182">
            <v>0</v>
          </cell>
          <cell r="HX182">
            <v>0</v>
          </cell>
          <cell r="HZ182">
            <v>0</v>
          </cell>
          <cell r="IA182">
            <v>0</v>
          </cell>
          <cell r="IC182">
            <v>0</v>
          </cell>
          <cell r="ID182">
            <v>0</v>
          </cell>
          <cell r="IF182">
            <v>0</v>
          </cell>
        </row>
        <row r="183">
          <cell r="GP183" t="str">
            <v>Sodium Hypochlorite Injection Skid, Circulating Water Treatment</v>
          </cell>
          <cell r="GQ183">
            <v>0</v>
          </cell>
          <cell r="GS183">
            <v>0</v>
          </cell>
          <cell r="GT183">
            <v>0</v>
          </cell>
          <cell r="GV183">
            <v>0</v>
          </cell>
          <cell r="GW183">
            <v>0</v>
          </cell>
          <cell r="GY183">
            <v>0</v>
          </cell>
          <cell r="GZ183">
            <v>0</v>
          </cell>
          <cell r="HB183">
            <v>0</v>
          </cell>
          <cell r="HC183">
            <v>0</v>
          </cell>
          <cell r="HE183">
            <v>0</v>
          </cell>
          <cell r="HF183">
            <v>0</v>
          </cell>
          <cell r="HH183">
            <v>0</v>
          </cell>
          <cell r="HI183">
            <v>0</v>
          </cell>
          <cell r="HK183">
            <v>0</v>
          </cell>
          <cell r="HL183">
            <v>0</v>
          </cell>
          <cell r="HN183">
            <v>0</v>
          </cell>
          <cell r="HO183">
            <v>0</v>
          </cell>
          <cell r="HQ183">
            <v>0</v>
          </cell>
          <cell r="HR183">
            <v>0</v>
          </cell>
          <cell r="HT183">
            <v>0</v>
          </cell>
          <cell r="HU183">
            <v>0</v>
          </cell>
          <cell r="HW183">
            <v>0</v>
          </cell>
          <cell r="HX183">
            <v>0</v>
          </cell>
          <cell r="HZ183">
            <v>0</v>
          </cell>
          <cell r="IA183">
            <v>0</v>
          </cell>
          <cell r="IC183">
            <v>0</v>
          </cell>
          <cell r="ID183">
            <v>0</v>
          </cell>
          <cell r="IF183">
            <v>0</v>
          </cell>
        </row>
        <row r="184">
          <cell r="GP184" t="str">
            <v>Sodium Hypochlorite Tank, Circulating Water Treatment</v>
          </cell>
          <cell r="GQ184">
            <v>0</v>
          </cell>
          <cell r="GS184">
            <v>0</v>
          </cell>
          <cell r="GT184">
            <v>0</v>
          </cell>
          <cell r="GV184">
            <v>0</v>
          </cell>
          <cell r="GW184">
            <v>0</v>
          </cell>
          <cell r="GY184">
            <v>0</v>
          </cell>
          <cell r="GZ184">
            <v>0</v>
          </cell>
          <cell r="HB184">
            <v>0</v>
          </cell>
          <cell r="HC184">
            <v>0</v>
          </cell>
          <cell r="HE184">
            <v>0</v>
          </cell>
          <cell r="HF184">
            <v>0</v>
          </cell>
          <cell r="HH184">
            <v>0</v>
          </cell>
          <cell r="HI184">
            <v>0</v>
          </cell>
          <cell r="HK184">
            <v>0</v>
          </cell>
          <cell r="HL184">
            <v>0</v>
          </cell>
          <cell r="HN184">
            <v>0</v>
          </cell>
          <cell r="HO184">
            <v>0</v>
          </cell>
          <cell r="HQ184">
            <v>0</v>
          </cell>
          <cell r="HR184">
            <v>0</v>
          </cell>
          <cell r="HT184">
            <v>0</v>
          </cell>
          <cell r="HU184">
            <v>0</v>
          </cell>
          <cell r="HW184">
            <v>0</v>
          </cell>
          <cell r="HX184">
            <v>0</v>
          </cell>
          <cell r="HZ184">
            <v>0</v>
          </cell>
          <cell r="IA184">
            <v>0</v>
          </cell>
          <cell r="IC184">
            <v>0</v>
          </cell>
          <cell r="ID184">
            <v>0</v>
          </cell>
          <cell r="IF184">
            <v>0</v>
          </cell>
        </row>
        <row r="185">
          <cell r="GP185" t="str">
            <v>Sulfuric Acid Storage Tank, Circulating Water Treatment</v>
          </cell>
          <cell r="GQ185">
            <v>0</v>
          </cell>
          <cell r="GS185">
            <v>0</v>
          </cell>
          <cell r="GT185">
            <v>0</v>
          </cell>
          <cell r="GV185">
            <v>0</v>
          </cell>
          <cell r="GW185">
            <v>0</v>
          </cell>
          <cell r="GY185">
            <v>0</v>
          </cell>
          <cell r="GZ185">
            <v>0</v>
          </cell>
          <cell r="HB185">
            <v>0</v>
          </cell>
          <cell r="HC185">
            <v>0</v>
          </cell>
          <cell r="HE185">
            <v>0</v>
          </cell>
          <cell r="HF185">
            <v>0</v>
          </cell>
          <cell r="HH185">
            <v>0</v>
          </cell>
          <cell r="HI185">
            <v>0</v>
          </cell>
          <cell r="HK185">
            <v>0</v>
          </cell>
          <cell r="HL185">
            <v>0</v>
          </cell>
          <cell r="HN185">
            <v>0</v>
          </cell>
          <cell r="HO185">
            <v>0</v>
          </cell>
          <cell r="HQ185">
            <v>0</v>
          </cell>
          <cell r="HR185">
            <v>0</v>
          </cell>
          <cell r="HT185">
            <v>0</v>
          </cell>
          <cell r="HU185">
            <v>0</v>
          </cell>
          <cell r="HW185">
            <v>0</v>
          </cell>
          <cell r="HX185">
            <v>0</v>
          </cell>
          <cell r="HZ185">
            <v>0</v>
          </cell>
          <cell r="IA185">
            <v>0</v>
          </cell>
          <cell r="IC185">
            <v>0</v>
          </cell>
          <cell r="ID185">
            <v>0</v>
          </cell>
          <cell r="IF185">
            <v>0</v>
          </cell>
        </row>
        <row r="186">
          <cell r="GP186" t="str">
            <v>Antifoulant/Corrosion Inhibitor Skid, Circulating Water Treatment</v>
          </cell>
          <cell r="GQ186">
            <v>0</v>
          </cell>
          <cell r="GS186">
            <v>0</v>
          </cell>
          <cell r="GT186">
            <v>0</v>
          </cell>
          <cell r="GV186">
            <v>0</v>
          </cell>
          <cell r="GW186">
            <v>0</v>
          </cell>
          <cell r="GY186">
            <v>0</v>
          </cell>
          <cell r="GZ186">
            <v>0</v>
          </cell>
          <cell r="HB186">
            <v>0</v>
          </cell>
          <cell r="HC186">
            <v>0</v>
          </cell>
          <cell r="HE186">
            <v>0</v>
          </cell>
          <cell r="HF186">
            <v>0</v>
          </cell>
          <cell r="HH186">
            <v>0</v>
          </cell>
          <cell r="HI186">
            <v>0</v>
          </cell>
          <cell r="HK186">
            <v>0</v>
          </cell>
          <cell r="HL186">
            <v>0</v>
          </cell>
          <cell r="HN186">
            <v>0</v>
          </cell>
          <cell r="HO186">
            <v>0</v>
          </cell>
          <cell r="HQ186">
            <v>0</v>
          </cell>
          <cell r="HR186">
            <v>0</v>
          </cell>
          <cell r="HT186">
            <v>0</v>
          </cell>
          <cell r="HU186">
            <v>0</v>
          </cell>
          <cell r="HW186">
            <v>0</v>
          </cell>
          <cell r="HX186">
            <v>0</v>
          </cell>
          <cell r="HZ186">
            <v>0</v>
          </cell>
          <cell r="IA186">
            <v>0</v>
          </cell>
          <cell r="IC186">
            <v>0</v>
          </cell>
          <cell r="ID186">
            <v>0</v>
          </cell>
          <cell r="IF186">
            <v>0</v>
          </cell>
        </row>
        <row r="187">
          <cell r="GP187" t="str">
            <v>Mixing Trough, Circulating Water Treatment</v>
          </cell>
          <cell r="GQ187">
            <v>0</v>
          </cell>
          <cell r="GS187">
            <v>0</v>
          </cell>
          <cell r="GT187">
            <v>0</v>
          </cell>
          <cell r="GV187">
            <v>0</v>
          </cell>
          <cell r="GW187">
            <v>0</v>
          </cell>
          <cell r="GY187">
            <v>0</v>
          </cell>
          <cell r="GZ187">
            <v>0</v>
          </cell>
          <cell r="HB187">
            <v>0</v>
          </cell>
          <cell r="HC187">
            <v>0</v>
          </cell>
          <cell r="HE187">
            <v>0</v>
          </cell>
          <cell r="HF187">
            <v>0</v>
          </cell>
          <cell r="HH187">
            <v>0</v>
          </cell>
          <cell r="HI187">
            <v>0</v>
          </cell>
          <cell r="HK187">
            <v>0</v>
          </cell>
          <cell r="HL187">
            <v>0</v>
          </cell>
          <cell r="HN187">
            <v>0</v>
          </cell>
          <cell r="HO187">
            <v>0</v>
          </cell>
          <cell r="HQ187">
            <v>0</v>
          </cell>
          <cell r="HR187">
            <v>0</v>
          </cell>
          <cell r="HT187">
            <v>0</v>
          </cell>
          <cell r="HU187">
            <v>0</v>
          </cell>
          <cell r="HW187">
            <v>0</v>
          </cell>
          <cell r="HX187">
            <v>0</v>
          </cell>
          <cell r="HZ187">
            <v>0</v>
          </cell>
          <cell r="IA187">
            <v>0</v>
          </cell>
          <cell r="IC187">
            <v>0</v>
          </cell>
          <cell r="ID187">
            <v>0</v>
          </cell>
          <cell r="IF187">
            <v>0</v>
          </cell>
        </row>
        <row r="188">
          <cell r="GP188" t="str">
            <v>Corrosion Inhibitor Pot Feeder, Closed-Cooling Water Treatment</v>
          </cell>
          <cell r="GQ188">
            <v>0</v>
          </cell>
          <cell r="GS188">
            <v>0</v>
          </cell>
          <cell r="GT188">
            <v>0</v>
          </cell>
          <cell r="GV188">
            <v>0</v>
          </cell>
          <cell r="GW188">
            <v>0</v>
          </cell>
          <cell r="GY188">
            <v>0</v>
          </cell>
          <cell r="GZ188">
            <v>0</v>
          </cell>
          <cell r="HB188">
            <v>0</v>
          </cell>
          <cell r="HC188">
            <v>0</v>
          </cell>
          <cell r="HE188">
            <v>0</v>
          </cell>
          <cell r="HF188">
            <v>0</v>
          </cell>
          <cell r="HH188">
            <v>0</v>
          </cell>
          <cell r="HI188">
            <v>0</v>
          </cell>
          <cell r="HK188">
            <v>0</v>
          </cell>
          <cell r="HL188">
            <v>0</v>
          </cell>
          <cell r="HN188">
            <v>0</v>
          </cell>
          <cell r="HO188">
            <v>0</v>
          </cell>
          <cell r="HQ188">
            <v>0</v>
          </cell>
          <cell r="HR188">
            <v>0</v>
          </cell>
          <cell r="HT188">
            <v>0</v>
          </cell>
          <cell r="HU188">
            <v>0</v>
          </cell>
          <cell r="HW188">
            <v>0</v>
          </cell>
          <cell r="HX188">
            <v>0</v>
          </cell>
          <cell r="HZ188">
            <v>0</v>
          </cell>
          <cell r="IA188">
            <v>0</v>
          </cell>
          <cell r="IC188">
            <v>0</v>
          </cell>
          <cell r="ID188">
            <v>0</v>
          </cell>
          <cell r="IF188">
            <v>0</v>
          </cell>
        </row>
        <row r="189">
          <cell r="GP189" t="str">
            <v>Chemical Injection Skid, Auxiliary Boiler</v>
          </cell>
          <cell r="GQ189">
            <v>0</v>
          </cell>
          <cell r="GS189">
            <v>0</v>
          </cell>
          <cell r="GT189">
            <v>0</v>
          </cell>
          <cell r="GV189">
            <v>0</v>
          </cell>
          <cell r="GW189">
            <v>0</v>
          </cell>
          <cell r="GY189">
            <v>0</v>
          </cell>
          <cell r="GZ189">
            <v>0</v>
          </cell>
          <cell r="HB189">
            <v>0</v>
          </cell>
          <cell r="HC189">
            <v>0</v>
          </cell>
          <cell r="HE189">
            <v>0</v>
          </cell>
          <cell r="HF189">
            <v>0</v>
          </cell>
          <cell r="HH189">
            <v>0</v>
          </cell>
          <cell r="HI189">
            <v>0</v>
          </cell>
          <cell r="HK189">
            <v>0</v>
          </cell>
          <cell r="HL189">
            <v>0</v>
          </cell>
          <cell r="HN189">
            <v>0</v>
          </cell>
          <cell r="HO189">
            <v>0</v>
          </cell>
          <cell r="HQ189">
            <v>0</v>
          </cell>
          <cell r="HR189">
            <v>0</v>
          </cell>
          <cell r="HT189">
            <v>0</v>
          </cell>
          <cell r="HU189">
            <v>0</v>
          </cell>
          <cell r="HW189">
            <v>0</v>
          </cell>
          <cell r="HX189">
            <v>0</v>
          </cell>
          <cell r="HZ189">
            <v>0</v>
          </cell>
          <cell r="IA189">
            <v>0</v>
          </cell>
          <cell r="IC189">
            <v>0</v>
          </cell>
          <cell r="ID189">
            <v>0</v>
          </cell>
          <cell r="IF189">
            <v>0</v>
          </cell>
        </row>
        <row r="190">
          <cell r="GP190" t="str">
            <v>GTG Water Wash Drain Tank</v>
          </cell>
          <cell r="GQ190">
            <v>100</v>
          </cell>
          <cell r="GS190">
            <v>100</v>
          </cell>
          <cell r="GT190">
            <v>100</v>
          </cell>
          <cell r="GV190">
            <v>100</v>
          </cell>
          <cell r="GW190">
            <v>100</v>
          </cell>
          <cell r="GY190">
            <v>100</v>
          </cell>
          <cell r="GZ190">
            <v>100</v>
          </cell>
          <cell r="HB190">
            <v>100</v>
          </cell>
          <cell r="HC190">
            <v>100</v>
          </cell>
          <cell r="HE190">
            <v>100</v>
          </cell>
          <cell r="HF190">
            <v>100</v>
          </cell>
          <cell r="HH190">
            <v>100</v>
          </cell>
          <cell r="HI190">
            <v>100</v>
          </cell>
          <cell r="HK190">
            <v>100</v>
          </cell>
          <cell r="HL190">
            <v>100</v>
          </cell>
          <cell r="HN190">
            <v>100</v>
          </cell>
          <cell r="HO190">
            <v>100</v>
          </cell>
          <cell r="HQ190">
            <v>100</v>
          </cell>
          <cell r="HR190">
            <v>100</v>
          </cell>
          <cell r="HT190">
            <v>100</v>
          </cell>
          <cell r="HU190">
            <v>100</v>
          </cell>
          <cell r="HW190">
            <v>100</v>
          </cell>
          <cell r="HX190">
            <v>100</v>
          </cell>
          <cell r="HZ190">
            <v>100</v>
          </cell>
          <cell r="IA190">
            <v>100</v>
          </cell>
          <cell r="IC190">
            <v>100</v>
          </cell>
          <cell r="ID190">
            <v>100</v>
          </cell>
          <cell r="IF190">
            <v>100</v>
          </cell>
        </row>
        <row r="191">
          <cell r="GP191" t="str">
            <v>HRSG Waste Water Sump</v>
          </cell>
          <cell r="GQ191">
            <v>0</v>
          </cell>
          <cell r="GS191">
            <v>0</v>
          </cell>
          <cell r="GT191">
            <v>0</v>
          </cell>
          <cell r="GV191">
            <v>0</v>
          </cell>
          <cell r="GW191">
            <v>0</v>
          </cell>
          <cell r="GY191">
            <v>0</v>
          </cell>
          <cell r="GZ191">
            <v>0</v>
          </cell>
          <cell r="HB191">
            <v>0</v>
          </cell>
          <cell r="HC191">
            <v>0</v>
          </cell>
          <cell r="HE191">
            <v>0</v>
          </cell>
          <cell r="HF191">
            <v>0</v>
          </cell>
          <cell r="HH191">
            <v>0</v>
          </cell>
          <cell r="HI191">
            <v>0</v>
          </cell>
          <cell r="HK191">
            <v>0</v>
          </cell>
          <cell r="HL191">
            <v>0</v>
          </cell>
          <cell r="HN191">
            <v>0</v>
          </cell>
          <cell r="HO191">
            <v>0</v>
          </cell>
          <cell r="HQ191">
            <v>0</v>
          </cell>
          <cell r="HR191">
            <v>0</v>
          </cell>
          <cell r="HT191">
            <v>0</v>
          </cell>
          <cell r="HU191">
            <v>0</v>
          </cell>
          <cell r="HW191">
            <v>0</v>
          </cell>
          <cell r="HX191">
            <v>0</v>
          </cell>
          <cell r="HZ191">
            <v>0</v>
          </cell>
          <cell r="IA191">
            <v>0</v>
          </cell>
          <cell r="IC191">
            <v>0</v>
          </cell>
          <cell r="ID191">
            <v>0</v>
          </cell>
          <cell r="IF191">
            <v>0</v>
          </cell>
        </row>
        <row r="192">
          <cell r="GP192" t="str">
            <v>HRSG Waste Water Sump Pump</v>
          </cell>
          <cell r="GQ192">
            <v>0</v>
          </cell>
          <cell r="GS192">
            <v>0</v>
          </cell>
          <cell r="GT192">
            <v>0</v>
          </cell>
          <cell r="GV192">
            <v>0</v>
          </cell>
          <cell r="GW192">
            <v>0</v>
          </cell>
          <cell r="GY192">
            <v>0</v>
          </cell>
          <cell r="GZ192">
            <v>0</v>
          </cell>
          <cell r="HB192">
            <v>0</v>
          </cell>
          <cell r="HC192">
            <v>0</v>
          </cell>
          <cell r="HE192">
            <v>0</v>
          </cell>
          <cell r="HF192">
            <v>0</v>
          </cell>
          <cell r="HH192">
            <v>0</v>
          </cell>
          <cell r="HI192">
            <v>0</v>
          </cell>
          <cell r="HK192">
            <v>0</v>
          </cell>
          <cell r="HL192">
            <v>0</v>
          </cell>
          <cell r="HN192">
            <v>0</v>
          </cell>
          <cell r="HO192">
            <v>0</v>
          </cell>
          <cell r="HQ192">
            <v>0</v>
          </cell>
          <cell r="HR192">
            <v>0</v>
          </cell>
          <cell r="HT192">
            <v>0</v>
          </cell>
          <cell r="HU192">
            <v>0</v>
          </cell>
          <cell r="HW192">
            <v>0</v>
          </cell>
          <cell r="HX192">
            <v>0</v>
          </cell>
          <cell r="HZ192">
            <v>0</v>
          </cell>
          <cell r="IA192">
            <v>0</v>
          </cell>
          <cell r="IC192">
            <v>0</v>
          </cell>
          <cell r="ID192">
            <v>0</v>
          </cell>
          <cell r="IF192">
            <v>0</v>
          </cell>
        </row>
        <row r="193">
          <cell r="GP193" t="str">
            <v>HRSG Chem Feed Area Waste Water Sump</v>
          </cell>
          <cell r="GQ193">
            <v>0</v>
          </cell>
          <cell r="GS193">
            <v>0</v>
          </cell>
          <cell r="GT193">
            <v>0</v>
          </cell>
          <cell r="GV193">
            <v>0</v>
          </cell>
          <cell r="GW193">
            <v>0</v>
          </cell>
          <cell r="GY193">
            <v>0</v>
          </cell>
          <cell r="GZ193">
            <v>0</v>
          </cell>
          <cell r="HB193">
            <v>0</v>
          </cell>
          <cell r="HC193">
            <v>0</v>
          </cell>
          <cell r="HE193">
            <v>0</v>
          </cell>
          <cell r="HF193">
            <v>0</v>
          </cell>
          <cell r="HH193">
            <v>0</v>
          </cell>
          <cell r="HI193">
            <v>0</v>
          </cell>
          <cell r="HK193">
            <v>0</v>
          </cell>
          <cell r="HL193">
            <v>0</v>
          </cell>
          <cell r="HN193">
            <v>0</v>
          </cell>
          <cell r="HO193">
            <v>0</v>
          </cell>
          <cell r="HQ193">
            <v>0</v>
          </cell>
          <cell r="HR193">
            <v>0</v>
          </cell>
          <cell r="HT193">
            <v>0</v>
          </cell>
          <cell r="HU193">
            <v>0</v>
          </cell>
          <cell r="HW193">
            <v>0</v>
          </cell>
          <cell r="HX193">
            <v>0</v>
          </cell>
          <cell r="HZ193">
            <v>0</v>
          </cell>
          <cell r="IA193">
            <v>0</v>
          </cell>
          <cell r="IC193">
            <v>0</v>
          </cell>
          <cell r="ID193">
            <v>0</v>
          </cell>
          <cell r="IF193">
            <v>0</v>
          </cell>
        </row>
        <row r="194">
          <cell r="GP194" t="str">
            <v>HRSG Chemical Feed Sump Pumps</v>
          </cell>
          <cell r="GQ194">
            <v>0</v>
          </cell>
          <cell r="GS194">
            <v>0</v>
          </cell>
          <cell r="GT194">
            <v>0</v>
          </cell>
          <cell r="GV194">
            <v>0</v>
          </cell>
          <cell r="GW194">
            <v>0</v>
          </cell>
          <cell r="GY194">
            <v>0</v>
          </cell>
          <cell r="GZ194">
            <v>0</v>
          </cell>
          <cell r="HB194">
            <v>0</v>
          </cell>
          <cell r="HC194">
            <v>0</v>
          </cell>
          <cell r="HE194">
            <v>0</v>
          </cell>
          <cell r="HF194">
            <v>0</v>
          </cell>
          <cell r="HH194">
            <v>0</v>
          </cell>
          <cell r="HI194">
            <v>0</v>
          </cell>
          <cell r="HK194">
            <v>0</v>
          </cell>
          <cell r="HL194">
            <v>0</v>
          </cell>
          <cell r="HN194">
            <v>0</v>
          </cell>
          <cell r="HO194">
            <v>0</v>
          </cell>
          <cell r="HQ194">
            <v>0</v>
          </cell>
          <cell r="HR194">
            <v>0</v>
          </cell>
          <cell r="HT194">
            <v>0</v>
          </cell>
          <cell r="HU194">
            <v>0</v>
          </cell>
          <cell r="HW194">
            <v>0</v>
          </cell>
          <cell r="HX194">
            <v>0</v>
          </cell>
          <cell r="HZ194">
            <v>0</v>
          </cell>
          <cell r="IA194">
            <v>0</v>
          </cell>
          <cell r="IC194">
            <v>0</v>
          </cell>
          <cell r="ID194">
            <v>0</v>
          </cell>
          <cell r="IF194">
            <v>0</v>
          </cell>
        </row>
        <row r="195">
          <cell r="GP195" t="str">
            <v>Cooling Tower Chem Feed Waste Water Sump</v>
          </cell>
          <cell r="GQ195">
            <v>0</v>
          </cell>
          <cell r="GS195">
            <v>0</v>
          </cell>
          <cell r="GT195">
            <v>0</v>
          </cell>
          <cell r="GV195">
            <v>0</v>
          </cell>
          <cell r="GW195">
            <v>0</v>
          </cell>
          <cell r="GY195">
            <v>0</v>
          </cell>
          <cell r="GZ195">
            <v>0</v>
          </cell>
          <cell r="HB195">
            <v>0</v>
          </cell>
          <cell r="HC195">
            <v>0</v>
          </cell>
          <cell r="HE195">
            <v>0</v>
          </cell>
          <cell r="HF195">
            <v>0</v>
          </cell>
          <cell r="HH195">
            <v>0</v>
          </cell>
          <cell r="HI195">
            <v>0</v>
          </cell>
          <cell r="HK195">
            <v>0</v>
          </cell>
          <cell r="HL195">
            <v>0</v>
          </cell>
          <cell r="HN195">
            <v>0</v>
          </cell>
          <cell r="HO195">
            <v>0</v>
          </cell>
          <cell r="HQ195">
            <v>0</v>
          </cell>
          <cell r="HR195">
            <v>0</v>
          </cell>
          <cell r="HT195">
            <v>0</v>
          </cell>
          <cell r="HU195">
            <v>0</v>
          </cell>
          <cell r="HW195">
            <v>0</v>
          </cell>
          <cell r="HX195">
            <v>0</v>
          </cell>
          <cell r="HZ195">
            <v>0</v>
          </cell>
          <cell r="IA195">
            <v>0</v>
          </cell>
          <cell r="IC195">
            <v>0</v>
          </cell>
          <cell r="ID195">
            <v>0</v>
          </cell>
          <cell r="IF195">
            <v>0</v>
          </cell>
        </row>
        <row r="196">
          <cell r="GP196" t="str">
            <v>Cooling Tower Chemical Feed Sump Pumps</v>
          </cell>
          <cell r="GQ196">
            <v>0</v>
          </cell>
          <cell r="GS196">
            <v>0</v>
          </cell>
          <cell r="GT196">
            <v>0</v>
          </cell>
          <cell r="GV196">
            <v>0</v>
          </cell>
          <cell r="GW196">
            <v>0</v>
          </cell>
          <cell r="GY196">
            <v>0</v>
          </cell>
          <cell r="GZ196">
            <v>0</v>
          </cell>
          <cell r="HB196">
            <v>0</v>
          </cell>
          <cell r="HC196">
            <v>0</v>
          </cell>
          <cell r="HE196">
            <v>0</v>
          </cell>
          <cell r="HF196">
            <v>0</v>
          </cell>
          <cell r="HH196">
            <v>0</v>
          </cell>
          <cell r="HI196">
            <v>0</v>
          </cell>
          <cell r="HK196">
            <v>0</v>
          </cell>
          <cell r="HL196">
            <v>0</v>
          </cell>
          <cell r="HN196">
            <v>0</v>
          </cell>
          <cell r="HO196">
            <v>0</v>
          </cell>
          <cell r="HQ196">
            <v>0</v>
          </cell>
          <cell r="HR196">
            <v>0</v>
          </cell>
          <cell r="HT196">
            <v>0</v>
          </cell>
          <cell r="HU196">
            <v>0</v>
          </cell>
          <cell r="HW196">
            <v>0</v>
          </cell>
          <cell r="HX196">
            <v>0</v>
          </cell>
          <cell r="HZ196">
            <v>0</v>
          </cell>
          <cell r="IA196">
            <v>0</v>
          </cell>
          <cell r="IC196">
            <v>0</v>
          </cell>
          <cell r="ID196">
            <v>0</v>
          </cell>
          <cell r="IF196">
            <v>0</v>
          </cell>
        </row>
        <row r="197">
          <cell r="GP197" t="str">
            <v>R/O Enclosure Waste Water Sump</v>
          </cell>
          <cell r="GS197">
            <v>0</v>
          </cell>
          <cell r="GV197">
            <v>0</v>
          </cell>
          <cell r="GY197">
            <v>0</v>
          </cell>
          <cell r="HB197">
            <v>0</v>
          </cell>
          <cell r="HE197">
            <v>0</v>
          </cell>
          <cell r="HH197">
            <v>0</v>
          </cell>
          <cell r="HK197">
            <v>0</v>
          </cell>
          <cell r="HN197">
            <v>0</v>
          </cell>
          <cell r="HQ197">
            <v>0</v>
          </cell>
          <cell r="HT197">
            <v>0</v>
          </cell>
          <cell r="HW197">
            <v>0</v>
          </cell>
          <cell r="HZ197">
            <v>0</v>
          </cell>
          <cell r="IC197">
            <v>0</v>
          </cell>
          <cell r="IF197">
            <v>0</v>
          </cell>
        </row>
        <row r="198">
          <cell r="GP198" t="str">
            <v>R/O Sump Pumps</v>
          </cell>
          <cell r="GS198">
            <v>0</v>
          </cell>
          <cell r="GV198">
            <v>0</v>
          </cell>
          <cell r="GY198">
            <v>0</v>
          </cell>
          <cell r="HB198">
            <v>0</v>
          </cell>
          <cell r="HE198">
            <v>0</v>
          </cell>
          <cell r="HH198">
            <v>0</v>
          </cell>
          <cell r="HK198">
            <v>0</v>
          </cell>
          <cell r="HN198">
            <v>0</v>
          </cell>
          <cell r="HQ198">
            <v>0</v>
          </cell>
          <cell r="HT198">
            <v>0</v>
          </cell>
          <cell r="HW198">
            <v>0</v>
          </cell>
          <cell r="HZ198">
            <v>0</v>
          </cell>
          <cell r="IC198">
            <v>0</v>
          </cell>
          <cell r="IF198">
            <v>0</v>
          </cell>
        </row>
        <row r="199">
          <cell r="GP199" t="str">
            <v>ZLDS Recovery Waste Water Sump</v>
          </cell>
          <cell r="GQ199">
            <v>0</v>
          </cell>
          <cell r="GS199">
            <v>0</v>
          </cell>
          <cell r="GT199">
            <v>0</v>
          </cell>
          <cell r="GV199">
            <v>0</v>
          </cell>
          <cell r="GW199">
            <v>0</v>
          </cell>
          <cell r="GY199">
            <v>0</v>
          </cell>
          <cell r="GZ199">
            <v>0</v>
          </cell>
          <cell r="HB199">
            <v>0</v>
          </cell>
          <cell r="HC199">
            <v>0</v>
          </cell>
          <cell r="HE199">
            <v>0</v>
          </cell>
          <cell r="HF199">
            <v>0</v>
          </cell>
          <cell r="HH199">
            <v>0</v>
          </cell>
          <cell r="HI199">
            <v>0</v>
          </cell>
          <cell r="HK199">
            <v>0</v>
          </cell>
          <cell r="HL199">
            <v>0</v>
          </cell>
          <cell r="HN199">
            <v>0</v>
          </cell>
          <cell r="HO199">
            <v>0</v>
          </cell>
          <cell r="HQ199">
            <v>0</v>
          </cell>
          <cell r="HR199">
            <v>0</v>
          </cell>
          <cell r="HT199">
            <v>0</v>
          </cell>
          <cell r="HU199">
            <v>0</v>
          </cell>
          <cell r="HW199">
            <v>0</v>
          </cell>
          <cell r="HX199">
            <v>0</v>
          </cell>
          <cell r="HZ199">
            <v>0</v>
          </cell>
          <cell r="IA199">
            <v>0</v>
          </cell>
          <cell r="IC199">
            <v>0</v>
          </cell>
          <cell r="ID199">
            <v>0</v>
          </cell>
          <cell r="IF199">
            <v>0</v>
          </cell>
        </row>
        <row r="200">
          <cell r="GP200" t="str">
            <v>ZLDS Recovery Sump Pumps</v>
          </cell>
          <cell r="GQ200">
            <v>0</v>
          </cell>
          <cell r="GS200">
            <v>0</v>
          </cell>
          <cell r="GT200">
            <v>0</v>
          </cell>
          <cell r="GV200">
            <v>0</v>
          </cell>
          <cell r="GW200">
            <v>0</v>
          </cell>
          <cell r="GY200">
            <v>0</v>
          </cell>
          <cell r="GZ200">
            <v>0</v>
          </cell>
          <cell r="HB200">
            <v>0</v>
          </cell>
          <cell r="HC200">
            <v>0</v>
          </cell>
          <cell r="HE200">
            <v>0</v>
          </cell>
          <cell r="HF200">
            <v>0</v>
          </cell>
          <cell r="HH200">
            <v>0</v>
          </cell>
          <cell r="HI200">
            <v>0</v>
          </cell>
          <cell r="HK200">
            <v>0</v>
          </cell>
          <cell r="HL200">
            <v>0</v>
          </cell>
          <cell r="HN200">
            <v>0</v>
          </cell>
          <cell r="HO200">
            <v>0</v>
          </cell>
          <cell r="HQ200">
            <v>0</v>
          </cell>
          <cell r="HR200">
            <v>0</v>
          </cell>
          <cell r="HT200">
            <v>0</v>
          </cell>
          <cell r="HU200">
            <v>0</v>
          </cell>
          <cell r="HW200">
            <v>0</v>
          </cell>
          <cell r="HX200">
            <v>0</v>
          </cell>
          <cell r="HZ200">
            <v>0</v>
          </cell>
          <cell r="IA200">
            <v>0</v>
          </cell>
          <cell r="IC200">
            <v>0</v>
          </cell>
          <cell r="ID200">
            <v>0</v>
          </cell>
          <cell r="IF200">
            <v>0</v>
          </cell>
        </row>
        <row r="201">
          <cell r="GP201" t="str">
            <v>Oily Water Separator / Underground</v>
          </cell>
          <cell r="GQ201">
            <v>200</v>
          </cell>
          <cell r="GS201">
            <v>200</v>
          </cell>
          <cell r="GT201">
            <v>200</v>
          </cell>
          <cell r="GV201">
            <v>200</v>
          </cell>
          <cell r="GW201">
            <v>200</v>
          </cell>
          <cell r="GY201">
            <v>200</v>
          </cell>
          <cell r="GZ201">
            <v>200</v>
          </cell>
          <cell r="HB201">
            <v>200</v>
          </cell>
          <cell r="HC201">
            <v>200</v>
          </cell>
          <cell r="HE201">
            <v>200</v>
          </cell>
          <cell r="HF201">
            <v>200</v>
          </cell>
          <cell r="HH201">
            <v>200</v>
          </cell>
          <cell r="HI201">
            <v>200</v>
          </cell>
          <cell r="HK201">
            <v>200</v>
          </cell>
          <cell r="HL201">
            <v>200</v>
          </cell>
          <cell r="HN201">
            <v>200</v>
          </cell>
          <cell r="HO201">
            <v>200</v>
          </cell>
          <cell r="HQ201">
            <v>200</v>
          </cell>
          <cell r="HR201">
            <v>200</v>
          </cell>
          <cell r="HT201">
            <v>200</v>
          </cell>
          <cell r="HU201">
            <v>200</v>
          </cell>
          <cell r="HW201">
            <v>200</v>
          </cell>
          <cell r="HX201">
            <v>200</v>
          </cell>
          <cell r="HZ201">
            <v>200</v>
          </cell>
          <cell r="IA201">
            <v>200</v>
          </cell>
          <cell r="IC201">
            <v>200</v>
          </cell>
          <cell r="ID201">
            <v>200</v>
          </cell>
          <cell r="IF201">
            <v>200</v>
          </cell>
        </row>
        <row r="202">
          <cell r="GP202" t="str">
            <v>GTG Waste Water Sump</v>
          </cell>
          <cell r="GS202">
            <v>0</v>
          </cell>
          <cell r="GV202">
            <v>0</v>
          </cell>
          <cell r="GY202">
            <v>0</v>
          </cell>
          <cell r="HB202">
            <v>0</v>
          </cell>
          <cell r="HE202">
            <v>0</v>
          </cell>
          <cell r="HH202">
            <v>0</v>
          </cell>
          <cell r="HK202">
            <v>0</v>
          </cell>
          <cell r="HN202">
            <v>0</v>
          </cell>
          <cell r="HQ202">
            <v>0</v>
          </cell>
          <cell r="HT202">
            <v>0</v>
          </cell>
          <cell r="HW202">
            <v>0</v>
          </cell>
          <cell r="HZ202">
            <v>0</v>
          </cell>
          <cell r="IC202">
            <v>0</v>
          </cell>
          <cell r="IF202">
            <v>0</v>
          </cell>
        </row>
        <row r="203">
          <cell r="GP203" t="str">
            <v>GTG Waste Water Sump Pump</v>
          </cell>
          <cell r="GQ203">
            <v>0</v>
          </cell>
          <cell r="GS203">
            <v>0</v>
          </cell>
          <cell r="GT203">
            <v>0</v>
          </cell>
          <cell r="GV203">
            <v>0</v>
          </cell>
          <cell r="GW203">
            <v>0</v>
          </cell>
          <cell r="GY203">
            <v>0</v>
          </cell>
          <cell r="GZ203">
            <v>0</v>
          </cell>
          <cell r="HB203">
            <v>0</v>
          </cell>
          <cell r="HC203">
            <v>0</v>
          </cell>
          <cell r="HE203">
            <v>0</v>
          </cell>
          <cell r="HF203">
            <v>0</v>
          </cell>
          <cell r="HH203">
            <v>0</v>
          </cell>
          <cell r="HI203">
            <v>0</v>
          </cell>
          <cell r="HK203">
            <v>0</v>
          </cell>
          <cell r="HL203">
            <v>0</v>
          </cell>
          <cell r="HN203">
            <v>0</v>
          </cell>
          <cell r="HO203">
            <v>0</v>
          </cell>
          <cell r="HQ203">
            <v>0</v>
          </cell>
          <cell r="HR203">
            <v>0</v>
          </cell>
          <cell r="HT203">
            <v>0</v>
          </cell>
          <cell r="HU203">
            <v>0</v>
          </cell>
          <cell r="HW203">
            <v>0</v>
          </cell>
          <cell r="HX203">
            <v>0</v>
          </cell>
          <cell r="HZ203">
            <v>0</v>
          </cell>
          <cell r="IA203">
            <v>0</v>
          </cell>
          <cell r="IC203">
            <v>0</v>
          </cell>
          <cell r="ID203">
            <v>0</v>
          </cell>
          <cell r="IF203">
            <v>0</v>
          </cell>
        </row>
        <row r="204">
          <cell r="GP204" t="str">
            <v>STG Waste Water Sump</v>
          </cell>
          <cell r="GS204">
            <v>0</v>
          </cell>
          <cell r="GV204">
            <v>0</v>
          </cell>
          <cell r="GY204">
            <v>0</v>
          </cell>
          <cell r="HB204">
            <v>0</v>
          </cell>
          <cell r="HE204">
            <v>0</v>
          </cell>
          <cell r="HH204">
            <v>0</v>
          </cell>
          <cell r="HK204">
            <v>0</v>
          </cell>
          <cell r="HN204">
            <v>0</v>
          </cell>
          <cell r="HQ204">
            <v>0</v>
          </cell>
          <cell r="HT204">
            <v>0</v>
          </cell>
          <cell r="HW204">
            <v>0</v>
          </cell>
          <cell r="HZ204">
            <v>0</v>
          </cell>
          <cell r="IC204">
            <v>0</v>
          </cell>
          <cell r="IF204">
            <v>0</v>
          </cell>
        </row>
        <row r="205">
          <cell r="GP205" t="str">
            <v>STG Recovery Sump Pump</v>
          </cell>
          <cell r="GQ205">
            <v>0</v>
          </cell>
          <cell r="GS205">
            <v>0</v>
          </cell>
          <cell r="GT205">
            <v>0</v>
          </cell>
          <cell r="GV205">
            <v>0</v>
          </cell>
          <cell r="GW205">
            <v>0</v>
          </cell>
          <cell r="GY205">
            <v>0</v>
          </cell>
          <cell r="GZ205">
            <v>0</v>
          </cell>
          <cell r="HB205">
            <v>0</v>
          </cell>
          <cell r="HC205">
            <v>0</v>
          </cell>
          <cell r="HE205">
            <v>0</v>
          </cell>
          <cell r="HF205">
            <v>0</v>
          </cell>
          <cell r="HH205">
            <v>0</v>
          </cell>
          <cell r="HI205">
            <v>0</v>
          </cell>
          <cell r="HK205">
            <v>0</v>
          </cell>
          <cell r="HL205">
            <v>0</v>
          </cell>
          <cell r="HN205">
            <v>0</v>
          </cell>
          <cell r="HO205">
            <v>0</v>
          </cell>
          <cell r="HQ205">
            <v>0</v>
          </cell>
          <cell r="HR205">
            <v>0</v>
          </cell>
          <cell r="HT205">
            <v>0</v>
          </cell>
          <cell r="HU205">
            <v>0</v>
          </cell>
          <cell r="HW205">
            <v>0</v>
          </cell>
          <cell r="HX205">
            <v>0</v>
          </cell>
          <cell r="HZ205">
            <v>0</v>
          </cell>
          <cell r="IA205">
            <v>0</v>
          </cell>
          <cell r="IC205">
            <v>0</v>
          </cell>
          <cell r="ID205">
            <v>0</v>
          </cell>
          <cell r="IF205">
            <v>0</v>
          </cell>
        </row>
        <row r="206">
          <cell r="GP206" t="str">
            <v>Sample Panel</v>
          </cell>
          <cell r="GQ206">
            <v>0</v>
          </cell>
          <cell r="GS206">
            <v>0</v>
          </cell>
          <cell r="GT206">
            <v>0</v>
          </cell>
          <cell r="GV206">
            <v>0</v>
          </cell>
          <cell r="GW206">
            <v>0</v>
          </cell>
          <cell r="GY206">
            <v>0</v>
          </cell>
          <cell r="GZ206">
            <v>0</v>
          </cell>
          <cell r="HB206">
            <v>0</v>
          </cell>
          <cell r="HC206">
            <v>0</v>
          </cell>
          <cell r="HE206">
            <v>0</v>
          </cell>
          <cell r="HF206">
            <v>0</v>
          </cell>
          <cell r="HH206">
            <v>0</v>
          </cell>
          <cell r="HI206">
            <v>0</v>
          </cell>
          <cell r="HK206">
            <v>0</v>
          </cell>
          <cell r="HL206">
            <v>0</v>
          </cell>
          <cell r="HN206">
            <v>0</v>
          </cell>
          <cell r="HO206">
            <v>0</v>
          </cell>
          <cell r="HQ206">
            <v>0</v>
          </cell>
          <cell r="HR206">
            <v>0</v>
          </cell>
          <cell r="HT206">
            <v>0</v>
          </cell>
          <cell r="HU206">
            <v>0</v>
          </cell>
          <cell r="HW206">
            <v>0</v>
          </cell>
          <cell r="HX206">
            <v>0</v>
          </cell>
          <cell r="HZ206">
            <v>0</v>
          </cell>
          <cell r="IA206">
            <v>0</v>
          </cell>
          <cell r="IC206">
            <v>0</v>
          </cell>
          <cell r="ID206">
            <v>0</v>
          </cell>
          <cell r="IF206">
            <v>0</v>
          </cell>
        </row>
        <row r="207">
          <cell r="GP207" t="str">
            <v>Safety Shower Assembly / Eyewash Assembly</v>
          </cell>
          <cell r="GQ207">
            <v>0</v>
          </cell>
          <cell r="GS207">
            <v>0</v>
          </cell>
          <cell r="GT207">
            <v>0</v>
          </cell>
          <cell r="GV207">
            <v>0</v>
          </cell>
          <cell r="GW207">
            <v>0</v>
          </cell>
          <cell r="GY207">
            <v>0</v>
          </cell>
          <cell r="GZ207">
            <v>0</v>
          </cell>
          <cell r="HB207">
            <v>0</v>
          </cell>
          <cell r="HC207">
            <v>0</v>
          </cell>
          <cell r="HE207">
            <v>0</v>
          </cell>
          <cell r="HF207">
            <v>0</v>
          </cell>
          <cell r="HH207">
            <v>0</v>
          </cell>
          <cell r="HI207">
            <v>0</v>
          </cell>
          <cell r="HK207">
            <v>0</v>
          </cell>
          <cell r="HL207">
            <v>0</v>
          </cell>
          <cell r="HN207">
            <v>0</v>
          </cell>
          <cell r="HO207">
            <v>0</v>
          </cell>
          <cell r="HQ207">
            <v>0</v>
          </cell>
          <cell r="HR207">
            <v>0</v>
          </cell>
          <cell r="HT207">
            <v>0</v>
          </cell>
          <cell r="HU207">
            <v>0</v>
          </cell>
          <cell r="HW207">
            <v>0</v>
          </cell>
          <cell r="HX207">
            <v>0</v>
          </cell>
          <cell r="HZ207">
            <v>0</v>
          </cell>
          <cell r="IA207">
            <v>0</v>
          </cell>
          <cell r="IC207">
            <v>0</v>
          </cell>
          <cell r="ID207">
            <v>0</v>
          </cell>
          <cell r="IF207">
            <v>0</v>
          </cell>
        </row>
        <row r="208">
          <cell r="GP208" t="str">
            <v>Ammonia Storage Tank</v>
          </cell>
          <cell r="GQ208">
            <v>1300</v>
          </cell>
          <cell r="GS208">
            <v>1300</v>
          </cell>
          <cell r="GT208">
            <v>1300</v>
          </cell>
          <cell r="GV208">
            <v>1300</v>
          </cell>
          <cell r="GW208">
            <v>1300</v>
          </cell>
          <cell r="GY208">
            <v>1300</v>
          </cell>
          <cell r="GZ208">
            <v>1300</v>
          </cell>
          <cell r="HB208">
            <v>1300</v>
          </cell>
          <cell r="HC208">
            <v>1300</v>
          </cell>
          <cell r="HE208">
            <v>1300</v>
          </cell>
          <cell r="HF208">
            <v>1300</v>
          </cell>
          <cell r="HH208">
            <v>1300</v>
          </cell>
          <cell r="HI208">
            <v>1300</v>
          </cell>
          <cell r="HK208">
            <v>1300</v>
          </cell>
          <cell r="HL208">
            <v>1300</v>
          </cell>
          <cell r="HN208">
            <v>1300</v>
          </cell>
          <cell r="HO208">
            <v>1300</v>
          </cell>
          <cell r="HQ208">
            <v>1300</v>
          </cell>
          <cell r="HR208">
            <v>1300</v>
          </cell>
          <cell r="HT208">
            <v>1300</v>
          </cell>
          <cell r="HU208">
            <v>1300</v>
          </cell>
          <cell r="HW208">
            <v>1300</v>
          </cell>
          <cell r="HX208">
            <v>1300</v>
          </cell>
          <cell r="HZ208">
            <v>1300</v>
          </cell>
          <cell r="IA208">
            <v>1300</v>
          </cell>
          <cell r="IC208">
            <v>1300</v>
          </cell>
          <cell r="ID208">
            <v>1300</v>
          </cell>
          <cell r="IF208">
            <v>1300</v>
          </cell>
        </row>
        <row r="209">
          <cell r="GP209" t="str">
            <v>Aqueous Ammonia Forwarding Pump</v>
          </cell>
          <cell r="GS209">
            <v>0</v>
          </cell>
          <cell r="GV209">
            <v>0</v>
          </cell>
          <cell r="GY209">
            <v>0</v>
          </cell>
          <cell r="HB209">
            <v>0</v>
          </cell>
          <cell r="HE209">
            <v>0</v>
          </cell>
          <cell r="HH209">
            <v>0</v>
          </cell>
          <cell r="HK209">
            <v>0</v>
          </cell>
          <cell r="HN209">
            <v>0</v>
          </cell>
          <cell r="HQ209">
            <v>0</v>
          </cell>
          <cell r="HT209">
            <v>0</v>
          </cell>
          <cell r="HW209">
            <v>0</v>
          </cell>
          <cell r="HZ209">
            <v>0</v>
          </cell>
          <cell r="IC209">
            <v>0</v>
          </cell>
          <cell r="IF209">
            <v>0</v>
          </cell>
        </row>
        <row r="210">
          <cell r="GP210" t="str">
            <v>Fire Pump, Electric</v>
          </cell>
          <cell r="GQ210">
            <v>1000</v>
          </cell>
          <cell r="GS210">
            <v>1000</v>
          </cell>
          <cell r="GT210">
            <v>1000</v>
          </cell>
          <cell r="GV210">
            <v>1000</v>
          </cell>
          <cell r="GW210">
            <v>1000</v>
          </cell>
          <cell r="GY210">
            <v>1000</v>
          </cell>
          <cell r="GZ210">
            <v>1000</v>
          </cell>
          <cell r="HB210">
            <v>1000</v>
          </cell>
          <cell r="HC210">
            <v>1000</v>
          </cell>
          <cell r="HE210">
            <v>1000</v>
          </cell>
          <cell r="HF210">
            <v>1000</v>
          </cell>
          <cell r="HH210">
            <v>1000</v>
          </cell>
          <cell r="HI210">
            <v>1000</v>
          </cell>
          <cell r="HK210">
            <v>1000</v>
          </cell>
          <cell r="HL210">
            <v>1000</v>
          </cell>
          <cell r="HN210">
            <v>1000</v>
          </cell>
          <cell r="HO210">
            <v>1000</v>
          </cell>
          <cell r="HQ210">
            <v>1000</v>
          </cell>
          <cell r="HR210">
            <v>1000</v>
          </cell>
          <cell r="HT210">
            <v>1000</v>
          </cell>
          <cell r="HU210">
            <v>1000</v>
          </cell>
          <cell r="HW210">
            <v>1000</v>
          </cell>
          <cell r="HX210">
            <v>1000</v>
          </cell>
          <cell r="HZ210">
            <v>1000</v>
          </cell>
          <cell r="IA210">
            <v>1000</v>
          </cell>
          <cell r="IC210">
            <v>1000</v>
          </cell>
          <cell r="ID210">
            <v>1000</v>
          </cell>
          <cell r="IF210">
            <v>1000</v>
          </cell>
        </row>
        <row r="211">
          <cell r="GP211" t="str">
            <v>Fire Pump, Diesel</v>
          </cell>
          <cell r="GQ211">
            <v>0</v>
          </cell>
          <cell r="GS211">
            <v>0</v>
          </cell>
          <cell r="GT211">
            <v>0</v>
          </cell>
          <cell r="GV211">
            <v>0</v>
          </cell>
          <cell r="GW211">
            <v>0</v>
          </cell>
          <cell r="GY211">
            <v>0</v>
          </cell>
          <cell r="GZ211">
            <v>0</v>
          </cell>
          <cell r="HB211">
            <v>0</v>
          </cell>
          <cell r="HC211">
            <v>0</v>
          </cell>
          <cell r="HE211">
            <v>0</v>
          </cell>
          <cell r="HF211">
            <v>0</v>
          </cell>
          <cell r="HH211">
            <v>0</v>
          </cell>
          <cell r="HI211">
            <v>0</v>
          </cell>
          <cell r="HK211">
            <v>0</v>
          </cell>
          <cell r="HL211">
            <v>0</v>
          </cell>
          <cell r="HN211">
            <v>0</v>
          </cell>
          <cell r="HO211">
            <v>0</v>
          </cell>
          <cell r="HQ211">
            <v>0</v>
          </cell>
          <cell r="HR211">
            <v>0</v>
          </cell>
          <cell r="HT211">
            <v>0</v>
          </cell>
          <cell r="HU211">
            <v>0</v>
          </cell>
          <cell r="HW211">
            <v>0</v>
          </cell>
          <cell r="HX211">
            <v>0</v>
          </cell>
          <cell r="HZ211">
            <v>0</v>
          </cell>
          <cell r="IA211">
            <v>0</v>
          </cell>
          <cell r="IC211">
            <v>0</v>
          </cell>
          <cell r="ID211">
            <v>0</v>
          </cell>
          <cell r="IF211">
            <v>0</v>
          </cell>
        </row>
        <row r="212">
          <cell r="GP212" t="str">
            <v>Fire Alarm System</v>
          </cell>
          <cell r="GQ212">
            <v>0</v>
          </cell>
          <cell r="GS212">
            <v>0</v>
          </cell>
          <cell r="GT212">
            <v>0</v>
          </cell>
          <cell r="GV212">
            <v>0</v>
          </cell>
          <cell r="GW212">
            <v>0</v>
          </cell>
          <cell r="GY212">
            <v>0</v>
          </cell>
          <cell r="GZ212">
            <v>0</v>
          </cell>
          <cell r="HB212">
            <v>0</v>
          </cell>
          <cell r="HC212">
            <v>0</v>
          </cell>
          <cell r="HE212">
            <v>0</v>
          </cell>
          <cell r="HF212">
            <v>0</v>
          </cell>
          <cell r="HH212">
            <v>0</v>
          </cell>
          <cell r="HI212">
            <v>0</v>
          </cell>
          <cell r="HK212">
            <v>0</v>
          </cell>
          <cell r="HL212">
            <v>0</v>
          </cell>
          <cell r="HN212">
            <v>0</v>
          </cell>
          <cell r="HO212">
            <v>0</v>
          </cell>
          <cell r="HQ212">
            <v>0</v>
          </cell>
          <cell r="HR212">
            <v>0</v>
          </cell>
          <cell r="HT212">
            <v>0</v>
          </cell>
          <cell r="HU212">
            <v>0</v>
          </cell>
          <cell r="HW212">
            <v>0</v>
          </cell>
          <cell r="HX212">
            <v>0</v>
          </cell>
          <cell r="HZ212">
            <v>0</v>
          </cell>
          <cell r="IA212">
            <v>0</v>
          </cell>
          <cell r="IC212">
            <v>0</v>
          </cell>
          <cell r="ID212">
            <v>0</v>
          </cell>
          <cell r="IF212">
            <v>0</v>
          </cell>
        </row>
        <row r="213">
          <cell r="GP213" t="str">
            <v>STG Sprinkler System</v>
          </cell>
          <cell r="GQ213">
            <v>0</v>
          </cell>
          <cell r="GS213">
            <v>0</v>
          </cell>
          <cell r="GT213">
            <v>0</v>
          </cell>
          <cell r="GV213">
            <v>0</v>
          </cell>
          <cell r="GW213">
            <v>0</v>
          </cell>
          <cell r="GY213">
            <v>0</v>
          </cell>
          <cell r="GZ213">
            <v>0</v>
          </cell>
          <cell r="HB213">
            <v>0</v>
          </cell>
          <cell r="HC213">
            <v>0</v>
          </cell>
          <cell r="HE213">
            <v>0</v>
          </cell>
          <cell r="HF213">
            <v>0</v>
          </cell>
          <cell r="HH213">
            <v>0</v>
          </cell>
          <cell r="HI213">
            <v>0</v>
          </cell>
          <cell r="HK213">
            <v>0</v>
          </cell>
          <cell r="HL213">
            <v>0</v>
          </cell>
          <cell r="HN213">
            <v>0</v>
          </cell>
          <cell r="HO213">
            <v>0</v>
          </cell>
          <cell r="HQ213">
            <v>0</v>
          </cell>
          <cell r="HR213">
            <v>0</v>
          </cell>
          <cell r="HT213">
            <v>0</v>
          </cell>
          <cell r="HU213">
            <v>0</v>
          </cell>
          <cell r="HW213">
            <v>0</v>
          </cell>
          <cell r="HX213">
            <v>0</v>
          </cell>
          <cell r="HZ213">
            <v>0</v>
          </cell>
          <cell r="IA213">
            <v>0</v>
          </cell>
          <cell r="IC213">
            <v>0</v>
          </cell>
          <cell r="ID213">
            <v>0</v>
          </cell>
          <cell r="IF213">
            <v>0</v>
          </cell>
        </row>
        <row r="214">
          <cell r="GP214" t="str">
            <v>GSU Sprinkler System</v>
          </cell>
          <cell r="GQ214">
            <v>400</v>
          </cell>
          <cell r="GS214">
            <v>400</v>
          </cell>
          <cell r="GT214">
            <v>400</v>
          </cell>
          <cell r="GV214">
            <v>400</v>
          </cell>
          <cell r="GW214">
            <v>400</v>
          </cell>
          <cell r="GY214">
            <v>400</v>
          </cell>
          <cell r="GZ214">
            <v>400</v>
          </cell>
          <cell r="HB214">
            <v>400</v>
          </cell>
          <cell r="HC214">
            <v>400</v>
          </cell>
          <cell r="HE214">
            <v>400</v>
          </cell>
          <cell r="HF214">
            <v>400</v>
          </cell>
          <cell r="HH214">
            <v>400</v>
          </cell>
          <cell r="HI214">
            <v>400</v>
          </cell>
          <cell r="HK214">
            <v>400</v>
          </cell>
          <cell r="HL214">
            <v>400</v>
          </cell>
          <cell r="HN214">
            <v>400</v>
          </cell>
          <cell r="HO214">
            <v>400</v>
          </cell>
          <cell r="HQ214">
            <v>400</v>
          </cell>
          <cell r="HR214">
            <v>400</v>
          </cell>
          <cell r="HT214">
            <v>400</v>
          </cell>
          <cell r="HU214">
            <v>400</v>
          </cell>
          <cell r="HW214">
            <v>400</v>
          </cell>
          <cell r="HX214">
            <v>400</v>
          </cell>
          <cell r="HZ214">
            <v>400</v>
          </cell>
          <cell r="IA214">
            <v>400</v>
          </cell>
          <cell r="IC214">
            <v>400</v>
          </cell>
          <cell r="ID214">
            <v>400</v>
          </cell>
          <cell r="IF214">
            <v>400</v>
          </cell>
        </row>
        <row r="215">
          <cell r="GP215" t="str">
            <v>Aux Transformer Sprinkler System</v>
          </cell>
          <cell r="GQ215">
            <v>400</v>
          </cell>
          <cell r="GS215">
            <v>400</v>
          </cell>
          <cell r="GT215">
            <v>400</v>
          </cell>
          <cell r="GV215">
            <v>400</v>
          </cell>
          <cell r="GW215">
            <v>400</v>
          </cell>
          <cell r="GY215">
            <v>400</v>
          </cell>
          <cell r="GZ215">
            <v>400</v>
          </cell>
          <cell r="HB215">
            <v>400</v>
          </cell>
          <cell r="HC215">
            <v>400</v>
          </cell>
          <cell r="HE215">
            <v>400</v>
          </cell>
          <cell r="HF215">
            <v>400</v>
          </cell>
          <cell r="HH215">
            <v>400</v>
          </cell>
          <cell r="HI215">
            <v>400</v>
          </cell>
          <cell r="HK215">
            <v>400</v>
          </cell>
          <cell r="HL215">
            <v>400</v>
          </cell>
          <cell r="HN215">
            <v>400</v>
          </cell>
          <cell r="HO215">
            <v>400</v>
          </cell>
          <cell r="HQ215">
            <v>400</v>
          </cell>
          <cell r="HR215">
            <v>400</v>
          </cell>
          <cell r="HT215">
            <v>400</v>
          </cell>
          <cell r="HU215">
            <v>400</v>
          </cell>
          <cell r="HW215">
            <v>400</v>
          </cell>
          <cell r="HX215">
            <v>400</v>
          </cell>
          <cell r="HZ215">
            <v>400</v>
          </cell>
          <cell r="IA215">
            <v>400</v>
          </cell>
          <cell r="IC215">
            <v>400</v>
          </cell>
          <cell r="ID215">
            <v>400</v>
          </cell>
          <cell r="IF215">
            <v>400</v>
          </cell>
        </row>
        <row r="216">
          <cell r="GP216" t="str">
            <v>Fuel Oil Tank Foam System</v>
          </cell>
          <cell r="GQ216">
            <v>0</v>
          </cell>
          <cell r="GS216">
            <v>0</v>
          </cell>
          <cell r="GT216">
            <v>0</v>
          </cell>
          <cell r="GV216">
            <v>0</v>
          </cell>
          <cell r="GW216">
            <v>0</v>
          </cell>
          <cell r="GY216">
            <v>0</v>
          </cell>
          <cell r="GZ216">
            <v>0</v>
          </cell>
          <cell r="HB216">
            <v>0</v>
          </cell>
          <cell r="HC216">
            <v>0</v>
          </cell>
          <cell r="HE216">
            <v>0</v>
          </cell>
          <cell r="HF216">
            <v>0</v>
          </cell>
          <cell r="HH216">
            <v>0</v>
          </cell>
          <cell r="HI216">
            <v>0</v>
          </cell>
          <cell r="HK216">
            <v>0</v>
          </cell>
          <cell r="HL216">
            <v>0</v>
          </cell>
          <cell r="HN216">
            <v>0</v>
          </cell>
          <cell r="HO216">
            <v>0</v>
          </cell>
          <cell r="HQ216">
            <v>0</v>
          </cell>
          <cell r="HR216">
            <v>0</v>
          </cell>
          <cell r="HT216">
            <v>0</v>
          </cell>
          <cell r="HU216">
            <v>0</v>
          </cell>
          <cell r="HW216">
            <v>0</v>
          </cell>
          <cell r="HX216">
            <v>0</v>
          </cell>
          <cell r="HZ216">
            <v>0</v>
          </cell>
          <cell r="IA216">
            <v>0</v>
          </cell>
          <cell r="IC216">
            <v>0</v>
          </cell>
          <cell r="ID216">
            <v>0</v>
          </cell>
          <cell r="IF216">
            <v>0</v>
          </cell>
        </row>
        <row r="217">
          <cell r="GP217" t="str">
            <v>Fire Extinguishers</v>
          </cell>
          <cell r="GS217">
            <v>0</v>
          </cell>
          <cell r="GV217">
            <v>0</v>
          </cell>
          <cell r="GY217">
            <v>0</v>
          </cell>
          <cell r="HB217">
            <v>0</v>
          </cell>
          <cell r="HE217">
            <v>0</v>
          </cell>
          <cell r="HH217">
            <v>0</v>
          </cell>
          <cell r="HK217">
            <v>0</v>
          </cell>
          <cell r="HN217">
            <v>0</v>
          </cell>
          <cell r="HQ217">
            <v>0</v>
          </cell>
          <cell r="HT217">
            <v>0</v>
          </cell>
          <cell r="HW217">
            <v>0</v>
          </cell>
          <cell r="HZ217">
            <v>0</v>
          </cell>
          <cell r="IC217">
            <v>0</v>
          </cell>
          <cell r="IF217">
            <v>0</v>
          </cell>
        </row>
        <row r="218">
          <cell r="GP218" t="str">
            <v>Air Compressor</v>
          </cell>
          <cell r="GQ218">
            <v>900</v>
          </cell>
          <cell r="GS218">
            <v>900</v>
          </cell>
          <cell r="GT218">
            <v>900</v>
          </cell>
          <cell r="GV218">
            <v>900</v>
          </cell>
          <cell r="GW218">
            <v>900</v>
          </cell>
          <cell r="GY218">
            <v>900</v>
          </cell>
          <cell r="GZ218">
            <v>900</v>
          </cell>
          <cell r="HB218">
            <v>900</v>
          </cell>
          <cell r="HC218">
            <v>900</v>
          </cell>
          <cell r="HE218">
            <v>900</v>
          </cell>
          <cell r="HF218">
            <v>900</v>
          </cell>
          <cell r="HH218">
            <v>900</v>
          </cell>
          <cell r="HI218">
            <v>900</v>
          </cell>
          <cell r="HK218">
            <v>900</v>
          </cell>
          <cell r="HL218">
            <v>900</v>
          </cell>
          <cell r="HN218">
            <v>900</v>
          </cell>
          <cell r="HO218">
            <v>900</v>
          </cell>
          <cell r="HQ218">
            <v>900</v>
          </cell>
          <cell r="HR218">
            <v>900</v>
          </cell>
          <cell r="HT218">
            <v>900</v>
          </cell>
          <cell r="HU218">
            <v>900</v>
          </cell>
          <cell r="HW218">
            <v>900</v>
          </cell>
          <cell r="HX218">
            <v>900</v>
          </cell>
          <cell r="HZ218">
            <v>900</v>
          </cell>
          <cell r="IA218">
            <v>900</v>
          </cell>
          <cell r="IC218">
            <v>900</v>
          </cell>
          <cell r="ID218">
            <v>900</v>
          </cell>
          <cell r="IF218">
            <v>900</v>
          </cell>
        </row>
        <row r="219">
          <cell r="GP219" t="str">
            <v>Instrument Air Dryer</v>
          </cell>
          <cell r="GQ219">
            <v>0</v>
          </cell>
          <cell r="GS219">
            <v>0</v>
          </cell>
          <cell r="GT219">
            <v>0</v>
          </cell>
          <cell r="GV219">
            <v>0</v>
          </cell>
          <cell r="GW219">
            <v>0</v>
          </cell>
          <cell r="GY219">
            <v>0</v>
          </cell>
          <cell r="GZ219">
            <v>0</v>
          </cell>
          <cell r="HB219">
            <v>0</v>
          </cell>
          <cell r="HC219">
            <v>0</v>
          </cell>
          <cell r="HE219">
            <v>0</v>
          </cell>
          <cell r="HF219">
            <v>0</v>
          </cell>
          <cell r="HH219">
            <v>0</v>
          </cell>
          <cell r="HI219">
            <v>0</v>
          </cell>
          <cell r="HK219">
            <v>0</v>
          </cell>
          <cell r="HL219">
            <v>0</v>
          </cell>
          <cell r="HN219">
            <v>0</v>
          </cell>
          <cell r="HO219">
            <v>0</v>
          </cell>
          <cell r="HQ219">
            <v>0</v>
          </cell>
          <cell r="HR219">
            <v>0</v>
          </cell>
          <cell r="HT219">
            <v>0</v>
          </cell>
          <cell r="HU219">
            <v>0</v>
          </cell>
          <cell r="HW219">
            <v>0</v>
          </cell>
          <cell r="HX219">
            <v>0</v>
          </cell>
          <cell r="HZ219">
            <v>0</v>
          </cell>
          <cell r="IA219">
            <v>0</v>
          </cell>
          <cell r="IC219">
            <v>0</v>
          </cell>
          <cell r="ID219">
            <v>0</v>
          </cell>
          <cell r="IF219">
            <v>0</v>
          </cell>
        </row>
        <row r="220">
          <cell r="GP220" t="str">
            <v>Instrument Air Receiver</v>
          </cell>
          <cell r="GQ220">
            <v>0</v>
          </cell>
          <cell r="GS220">
            <v>0</v>
          </cell>
          <cell r="GT220">
            <v>0</v>
          </cell>
          <cell r="GV220">
            <v>0</v>
          </cell>
          <cell r="GW220">
            <v>0</v>
          </cell>
          <cell r="GY220">
            <v>0</v>
          </cell>
          <cell r="GZ220">
            <v>0</v>
          </cell>
          <cell r="HB220">
            <v>0</v>
          </cell>
          <cell r="HC220">
            <v>0</v>
          </cell>
          <cell r="HE220">
            <v>0</v>
          </cell>
          <cell r="HF220">
            <v>0</v>
          </cell>
          <cell r="HH220">
            <v>0</v>
          </cell>
          <cell r="HI220">
            <v>0</v>
          </cell>
          <cell r="HK220">
            <v>0</v>
          </cell>
          <cell r="HL220">
            <v>0</v>
          </cell>
          <cell r="HN220">
            <v>0</v>
          </cell>
          <cell r="HO220">
            <v>0</v>
          </cell>
          <cell r="HQ220">
            <v>0</v>
          </cell>
          <cell r="HR220">
            <v>0</v>
          </cell>
          <cell r="HT220">
            <v>0</v>
          </cell>
          <cell r="HU220">
            <v>0</v>
          </cell>
          <cell r="HW220">
            <v>0</v>
          </cell>
          <cell r="HX220">
            <v>0</v>
          </cell>
          <cell r="HZ220">
            <v>0</v>
          </cell>
          <cell r="IA220">
            <v>0</v>
          </cell>
          <cell r="IC220">
            <v>0</v>
          </cell>
          <cell r="ID220">
            <v>0</v>
          </cell>
          <cell r="IF220">
            <v>0</v>
          </cell>
        </row>
        <row r="221">
          <cell r="GP221" t="str">
            <v>Continuous Emissions Monitoring System</v>
          </cell>
          <cell r="GQ221">
            <v>0</v>
          </cell>
          <cell r="GS221">
            <v>0</v>
          </cell>
          <cell r="GT221">
            <v>0</v>
          </cell>
          <cell r="GV221">
            <v>0</v>
          </cell>
          <cell r="GW221">
            <v>0</v>
          </cell>
          <cell r="GY221">
            <v>0</v>
          </cell>
          <cell r="GZ221">
            <v>0</v>
          </cell>
          <cell r="HB221">
            <v>0</v>
          </cell>
          <cell r="HC221">
            <v>0</v>
          </cell>
          <cell r="HE221">
            <v>0</v>
          </cell>
          <cell r="HF221">
            <v>0</v>
          </cell>
          <cell r="HH221">
            <v>0</v>
          </cell>
          <cell r="HI221">
            <v>0</v>
          </cell>
          <cell r="HK221">
            <v>0</v>
          </cell>
          <cell r="HL221">
            <v>0</v>
          </cell>
          <cell r="HN221">
            <v>0</v>
          </cell>
          <cell r="HO221">
            <v>0</v>
          </cell>
          <cell r="HQ221">
            <v>0</v>
          </cell>
          <cell r="HR221">
            <v>0</v>
          </cell>
          <cell r="HT221">
            <v>0</v>
          </cell>
          <cell r="HU221">
            <v>0</v>
          </cell>
          <cell r="HW221">
            <v>0</v>
          </cell>
          <cell r="HX221">
            <v>0</v>
          </cell>
          <cell r="HZ221">
            <v>0</v>
          </cell>
          <cell r="IA221">
            <v>0</v>
          </cell>
          <cell r="IC221">
            <v>0</v>
          </cell>
          <cell r="ID221">
            <v>0</v>
          </cell>
          <cell r="IF221">
            <v>0</v>
          </cell>
        </row>
        <row r="222">
          <cell r="GP222" t="str">
            <v>Bulk Hydrogen Storage</v>
          </cell>
          <cell r="GQ222">
            <v>0</v>
          </cell>
          <cell r="GS222">
            <v>0</v>
          </cell>
          <cell r="GT222">
            <v>0</v>
          </cell>
          <cell r="GV222">
            <v>0</v>
          </cell>
          <cell r="GW222">
            <v>0</v>
          </cell>
          <cell r="GY222">
            <v>0</v>
          </cell>
          <cell r="GZ222">
            <v>0</v>
          </cell>
          <cell r="HB222">
            <v>0</v>
          </cell>
          <cell r="HC222">
            <v>0</v>
          </cell>
          <cell r="HE222">
            <v>0</v>
          </cell>
          <cell r="HF222">
            <v>0</v>
          </cell>
          <cell r="HH222">
            <v>0</v>
          </cell>
          <cell r="HI222">
            <v>0</v>
          </cell>
          <cell r="HK222">
            <v>0</v>
          </cell>
          <cell r="HL222">
            <v>0</v>
          </cell>
          <cell r="HN222">
            <v>0</v>
          </cell>
          <cell r="HO222">
            <v>0</v>
          </cell>
          <cell r="HQ222">
            <v>0</v>
          </cell>
          <cell r="HR222">
            <v>0</v>
          </cell>
          <cell r="HT222">
            <v>0</v>
          </cell>
          <cell r="HU222">
            <v>0</v>
          </cell>
          <cell r="HW222">
            <v>0</v>
          </cell>
          <cell r="HX222">
            <v>0</v>
          </cell>
          <cell r="HZ222">
            <v>0</v>
          </cell>
          <cell r="IA222">
            <v>0</v>
          </cell>
          <cell r="IC222">
            <v>0</v>
          </cell>
          <cell r="ID222">
            <v>0</v>
          </cell>
          <cell r="IF222">
            <v>0</v>
          </cell>
        </row>
        <row r="223">
          <cell r="GP223" t="str">
            <v>Bulk CO2 Storage</v>
          </cell>
          <cell r="GQ223">
            <v>0</v>
          </cell>
          <cell r="GS223">
            <v>0</v>
          </cell>
          <cell r="GT223">
            <v>0</v>
          </cell>
          <cell r="GV223">
            <v>0</v>
          </cell>
          <cell r="GW223">
            <v>0</v>
          </cell>
          <cell r="GY223">
            <v>0</v>
          </cell>
          <cell r="GZ223">
            <v>0</v>
          </cell>
          <cell r="HB223">
            <v>0</v>
          </cell>
          <cell r="HC223">
            <v>0</v>
          </cell>
          <cell r="HE223">
            <v>0</v>
          </cell>
          <cell r="HF223">
            <v>0</v>
          </cell>
          <cell r="HH223">
            <v>0</v>
          </cell>
          <cell r="HI223">
            <v>0</v>
          </cell>
          <cell r="HK223">
            <v>0</v>
          </cell>
          <cell r="HL223">
            <v>0</v>
          </cell>
          <cell r="HN223">
            <v>0</v>
          </cell>
          <cell r="HO223">
            <v>0</v>
          </cell>
          <cell r="HQ223">
            <v>0</v>
          </cell>
          <cell r="HR223">
            <v>0</v>
          </cell>
          <cell r="HT223">
            <v>0</v>
          </cell>
          <cell r="HU223">
            <v>0</v>
          </cell>
          <cell r="HW223">
            <v>0</v>
          </cell>
          <cell r="HX223">
            <v>0</v>
          </cell>
          <cell r="HZ223">
            <v>0</v>
          </cell>
          <cell r="IA223">
            <v>0</v>
          </cell>
          <cell r="IC223">
            <v>0</v>
          </cell>
          <cell r="ID223">
            <v>0</v>
          </cell>
          <cell r="IF223">
            <v>0</v>
          </cell>
        </row>
        <row r="224">
          <cell r="GP224" t="str">
            <v>Bulk Nitrogen Storage</v>
          </cell>
          <cell r="GQ224">
            <v>0</v>
          </cell>
          <cell r="GS224">
            <v>0</v>
          </cell>
          <cell r="GT224">
            <v>0</v>
          </cell>
          <cell r="GV224">
            <v>0</v>
          </cell>
          <cell r="GW224">
            <v>0</v>
          </cell>
          <cell r="GY224">
            <v>0</v>
          </cell>
          <cell r="GZ224">
            <v>0</v>
          </cell>
          <cell r="HB224">
            <v>0</v>
          </cell>
          <cell r="HC224">
            <v>0</v>
          </cell>
          <cell r="HE224">
            <v>0</v>
          </cell>
          <cell r="HF224">
            <v>0</v>
          </cell>
          <cell r="HH224">
            <v>0</v>
          </cell>
          <cell r="HI224">
            <v>0</v>
          </cell>
          <cell r="HK224">
            <v>0</v>
          </cell>
          <cell r="HL224">
            <v>0</v>
          </cell>
          <cell r="HN224">
            <v>0</v>
          </cell>
          <cell r="HO224">
            <v>0</v>
          </cell>
          <cell r="HQ224">
            <v>0</v>
          </cell>
          <cell r="HR224">
            <v>0</v>
          </cell>
          <cell r="HT224">
            <v>0</v>
          </cell>
          <cell r="HU224">
            <v>0</v>
          </cell>
          <cell r="HW224">
            <v>0</v>
          </cell>
          <cell r="HX224">
            <v>0</v>
          </cell>
          <cell r="HZ224">
            <v>0</v>
          </cell>
          <cell r="IA224">
            <v>0</v>
          </cell>
          <cell r="IC224">
            <v>0</v>
          </cell>
          <cell r="ID224">
            <v>0</v>
          </cell>
          <cell r="IF224">
            <v>0</v>
          </cell>
        </row>
        <row r="225">
          <cell r="GP225">
            <v>0</v>
          </cell>
          <cell r="GS225">
            <v>0</v>
          </cell>
          <cell r="GV225">
            <v>0</v>
          </cell>
          <cell r="GY225">
            <v>0</v>
          </cell>
          <cell r="HB225">
            <v>0</v>
          </cell>
          <cell r="HE225">
            <v>0</v>
          </cell>
          <cell r="HH225">
            <v>0</v>
          </cell>
          <cell r="HK225">
            <v>0</v>
          </cell>
          <cell r="HN225">
            <v>0</v>
          </cell>
          <cell r="HQ225">
            <v>0</v>
          </cell>
          <cell r="HT225">
            <v>0</v>
          </cell>
          <cell r="HW225">
            <v>0</v>
          </cell>
          <cell r="HZ225">
            <v>0</v>
          </cell>
          <cell r="IC225">
            <v>0</v>
          </cell>
          <cell r="IF225">
            <v>0</v>
          </cell>
        </row>
        <row r="226">
          <cell r="GP226">
            <v>0</v>
          </cell>
          <cell r="GS226">
            <v>0</v>
          </cell>
          <cell r="GV226">
            <v>0</v>
          </cell>
          <cell r="GY226">
            <v>0</v>
          </cell>
          <cell r="HB226">
            <v>0</v>
          </cell>
          <cell r="HE226">
            <v>0</v>
          </cell>
          <cell r="HH226">
            <v>0</v>
          </cell>
          <cell r="HK226">
            <v>0</v>
          </cell>
          <cell r="HN226">
            <v>0</v>
          </cell>
          <cell r="HQ226">
            <v>0</v>
          </cell>
          <cell r="HT226">
            <v>0</v>
          </cell>
          <cell r="HW226">
            <v>0</v>
          </cell>
          <cell r="HZ226">
            <v>0</v>
          </cell>
          <cell r="IC226">
            <v>0</v>
          </cell>
          <cell r="IF226">
            <v>0</v>
          </cell>
        </row>
        <row r="227">
          <cell r="GP227" t="str">
            <v>Elevator</v>
          </cell>
          <cell r="GQ227">
            <v>0</v>
          </cell>
          <cell r="GS227">
            <v>0</v>
          </cell>
          <cell r="GT227">
            <v>0</v>
          </cell>
          <cell r="GV227">
            <v>0</v>
          </cell>
          <cell r="GW227">
            <v>0</v>
          </cell>
          <cell r="GY227">
            <v>0</v>
          </cell>
          <cell r="GZ227">
            <v>0</v>
          </cell>
          <cell r="HB227">
            <v>0</v>
          </cell>
          <cell r="HC227">
            <v>0</v>
          </cell>
          <cell r="HE227">
            <v>0</v>
          </cell>
          <cell r="HF227">
            <v>0</v>
          </cell>
          <cell r="HH227">
            <v>0</v>
          </cell>
          <cell r="HI227">
            <v>0</v>
          </cell>
          <cell r="HK227">
            <v>0</v>
          </cell>
          <cell r="HL227">
            <v>0</v>
          </cell>
          <cell r="HN227">
            <v>0</v>
          </cell>
          <cell r="HO227">
            <v>0</v>
          </cell>
          <cell r="HQ227">
            <v>0</v>
          </cell>
          <cell r="HR227">
            <v>0</v>
          </cell>
          <cell r="HT227">
            <v>0</v>
          </cell>
          <cell r="HU227">
            <v>0</v>
          </cell>
          <cell r="HW227">
            <v>0</v>
          </cell>
          <cell r="HX227">
            <v>0</v>
          </cell>
          <cell r="HZ227">
            <v>0</v>
          </cell>
          <cell r="IA227">
            <v>0</v>
          </cell>
          <cell r="IC227">
            <v>0</v>
          </cell>
          <cell r="ID227">
            <v>0</v>
          </cell>
          <cell r="IF227">
            <v>0</v>
          </cell>
        </row>
        <row r="228">
          <cell r="GP228" t="str">
            <v>STG Maintenance Gantry Crane</v>
          </cell>
          <cell r="GQ228">
            <v>0</v>
          </cell>
          <cell r="GS228">
            <v>0</v>
          </cell>
          <cell r="GT228">
            <v>0</v>
          </cell>
          <cell r="GV228">
            <v>0</v>
          </cell>
          <cell r="GW228">
            <v>0</v>
          </cell>
          <cell r="GY228">
            <v>0</v>
          </cell>
          <cell r="GZ228">
            <v>0</v>
          </cell>
          <cell r="HB228">
            <v>0</v>
          </cell>
          <cell r="HC228">
            <v>0</v>
          </cell>
          <cell r="HE228">
            <v>0</v>
          </cell>
          <cell r="HF228">
            <v>0</v>
          </cell>
          <cell r="HH228">
            <v>0</v>
          </cell>
          <cell r="HI228">
            <v>0</v>
          </cell>
          <cell r="HK228">
            <v>0</v>
          </cell>
          <cell r="HL228">
            <v>0</v>
          </cell>
          <cell r="HN228">
            <v>0</v>
          </cell>
          <cell r="HO228">
            <v>0</v>
          </cell>
          <cell r="HQ228">
            <v>0</v>
          </cell>
          <cell r="HR228">
            <v>0</v>
          </cell>
          <cell r="HT228">
            <v>0</v>
          </cell>
          <cell r="HU228">
            <v>0</v>
          </cell>
          <cell r="HW228">
            <v>0</v>
          </cell>
          <cell r="HX228">
            <v>0</v>
          </cell>
          <cell r="HZ228">
            <v>0</v>
          </cell>
          <cell r="IA228">
            <v>0</v>
          </cell>
          <cell r="IC228">
            <v>0</v>
          </cell>
          <cell r="ID228">
            <v>0</v>
          </cell>
          <cell r="IF228">
            <v>0</v>
          </cell>
        </row>
        <row r="229">
          <cell r="GP229" t="str">
            <v>GTG Maintenance Gantry Crane</v>
          </cell>
          <cell r="GQ229">
            <v>0</v>
          </cell>
          <cell r="GS229">
            <v>0</v>
          </cell>
          <cell r="GT229">
            <v>0</v>
          </cell>
          <cell r="GV229">
            <v>0</v>
          </cell>
          <cell r="GW229">
            <v>0</v>
          </cell>
          <cell r="GY229">
            <v>0</v>
          </cell>
          <cell r="GZ229">
            <v>0</v>
          </cell>
          <cell r="HB229">
            <v>0</v>
          </cell>
          <cell r="HC229">
            <v>0</v>
          </cell>
          <cell r="HE229">
            <v>0</v>
          </cell>
          <cell r="HF229">
            <v>0</v>
          </cell>
          <cell r="HH229">
            <v>0</v>
          </cell>
          <cell r="HI229">
            <v>0</v>
          </cell>
          <cell r="HK229">
            <v>0</v>
          </cell>
          <cell r="HL229">
            <v>0</v>
          </cell>
          <cell r="HN229">
            <v>0</v>
          </cell>
          <cell r="HO229">
            <v>0</v>
          </cell>
          <cell r="HQ229">
            <v>0</v>
          </cell>
          <cell r="HR229">
            <v>0</v>
          </cell>
          <cell r="HT229">
            <v>0</v>
          </cell>
          <cell r="HU229">
            <v>0</v>
          </cell>
          <cell r="HW229">
            <v>0</v>
          </cell>
          <cell r="HX229">
            <v>0</v>
          </cell>
          <cell r="HZ229">
            <v>0</v>
          </cell>
          <cell r="IA229">
            <v>0</v>
          </cell>
          <cell r="IC229">
            <v>0</v>
          </cell>
          <cell r="ID229">
            <v>0</v>
          </cell>
          <cell r="IF229">
            <v>0</v>
          </cell>
        </row>
        <row r="230">
          <cell r="GP230" t="str">
            <v>Hoist</v>
          </cell>
          <cell r="GQ230">
            <v>0</v>
          </cell>
          <cell r="GS230">
            <v>0</v>
          </cell>
          <cell r="GT230">
            <v>0</v>
          </cell>
          <cell r="GV230">
            <v>0</v>
          </cell>
          <cell r="GW230">
            <v>0</v>
          </cell>
          <cell r="GY230">
            <v>0</v>
          </cell>
          <cell r="GZ230">
            <v>0</v>
          </cell>
          <cell r="HB230">
            <v>0</v>
          </cell>
          <cell r="HC230">
            <v>0</v>
          </cell>
          <cell r="HE230">
            <v>0</v>
          </cell>
          <cell r="HF230">
            <v>0</v>
          </cell>
          <cell r="HH230">
            <v>0</v>
          </cell>
          <cell r="HI230">
            <v>0</v>
          </cell>
          <cell r="HK230">
            <v>0</v>
          </cell>
          <cell r="HL230">
            <v>0</v>
          </cell>
          <cell r="HN230">
            <v>0</v>
          </cell>
          <cell r="HO230">
            <v>0</v>
          </cell>
          <cell r="HQ230">
            <v>0</v>
          </cell>
          <cell r="HR230">
            <v>0</v>
          </cell>
          <cell r="HT230">
            <v>0</v>
          </cell>
          <cell r="HU230">
            <v>0</v>
          </cell>
          <cell r="HW230">
            <v>0</v>
          </cell>
          <cell r="HX230">
            <v>0</v>
          </cell>
          <cell r="HZ230">
            <v>0</v>
          </cell>
          <cell r="IA230">
            <v>0</v>
          </cell>
          <cell r="IC230">
            <v>0</v>
          </cell>
          <cell r="ID230">
            <v>0</v>
          </cell>
          <cell r="IF230">
            <v>0</v>
          </cell>
        </row>
        <row r="231">
          <cell r="GP231">
            <v>0</v>
          </cell>
          <cell r="GQ231">
            <v>0</v>
          </cell>
          <cell r="GS231">
            <v>0</v>
          </cell>
          <cell r="GT231">
            <v>0</v>
          </cell>
          <cell r="GV231">
            <v>0</v>
          </cell>
          <cell r="GW231">
            <v>0</v>
          </cell>
          <cell r="GY231">
            <v>0</v>
          </cell>
          <cell r="GZ231">
            <v>0</v>
          </cell>
          <cell r="HB231">
            <v>0</v>
          </cell>
          <cell r="HC231">
            <v>0</v>
          </cell>
          <cell r="HE231">
            <v>0</v>
          </cell>
          <cell r="HF231">
            <v>0</v>
          </cell>
          <cell r="HH231">
            <v>0</v>
          </cell>
          <cell r="HI231">
            <v>0</v>
          </cell>
          <cell r="HK231">
            <v>0</v>
          </cell>
          <cell r="HL231">
            <v>0</v>
          </cell>
          <cell r="HN231">
            <v>0</v>
          </cell>
          <cell r="HO231">
            <v>0</v>
          </cell>
          <cell r="HQ231">
            <v>0</v>
          </cell>
          <cell r="HR231">
            <v>0</v>
          </cell>
          <cell r="HT231">
            <v>0</v>
          </cell>
          <cell r="HU231">
            <v>0</v>
          </cell>
          <cell r="HW231">
            <v>0</v>
          </cell>
          <cell r="HX231">
            <v>0</v>
          </cell>
          <cell r="HZ231">
            <v>0</v>
          </cell>
          <cell r="IA231">
            <v>0</v>
          </cell>
          <cell r="IC231">
            <v>0</v>
          </cell>
          <cell r="ID231">
            <v>0</v>
          </cell>
          <cell r="IF231">
            <v>0</v>
          </cell>
        </row>
        <row r="232">
          <cell r="GP232" t="str">
            <v>GTG Inlet Chiller</v>
          </cell>
          <cell r="GQ232">
            <v>0</v>
          </cell>
          <cell r="GS232">
            <v>0</v>
          </cell>
          <cell r="GT232">
            <v>0</v>
          </cell>
          <cell r="GV232">
            <v>0</v>
          </cell>
          <cell r="GW232">
            <v>0</v>
          </cell>
          <cell r="GY232">
            <v>0</v>
          </cell>
          <cell r="GZ232">
            <v>0</v>
          </cell>
          <cell r="HB232">
            <v>0</v>
          </cell>
          <cell r="HC232">
            <v>0</v>
          </cell>
          <cell r="HE232">
            <v>0</v>
          </cell>
          <cell r="HF232">
            <v>0</v>
          </cell>
          <cell r="HH232">
            <v>0</v>
          </cell>
          <cell r="HI232">
            <v>0</v>
          </cell>
          <cell r="HK232">
            <v>0</v>
          </cell>
          <cell r="HL232">
            <v>0</v>
          </cell>
          <cell r="HN232">
            <v>0</v>
          </cell>
          <cell r="HO232">
            <v>0</v>
          </cell>
          <cell r="HQ232">
            <v>0</v>
          </cell>
          <cell r="HR232">
            <v>0</v>
          </cell>
          <cell r="HT232">
            <v>0</v>
          </cell>
          <cell r="HU232">
            <v>0</v>
          </cell>
          <cell r="HW232">
            <v>0</v>
          </cell>
          <cell r="HX232">
            <v>0</v>
          </cell>
          <cell r="HZ232">
            <v>0</v>
          </cell>
          <cell r="IA232">
            <v>0</v>
          </cell>
          <cell r="IC232">
            <v>0</v>
          </cell>
          <cell r="ID232">
            <v>0</v>
          </cell>
          <cell r="IF232">
            <v>0</v>
          </cell>
        </row>
        <row r="233">
          <cell r="GP233" t="str">
            <v>Steam Turbine Bypass Valves</v>
          </cell>
          <cell r="GS233">
            <v>0</v>
          </cell>
          <cell r="GV233">
            <v>0</v>
          </cell>
          <cell r="GY233">
            <v>0</v>
          </cell>
          <cell r="HB233">
            <v>0</v>
          </cell>
          <cell r="HE233">
            <v>0</v>
          </cell>
          <cell r="HH233">
            <v>0</v>
          </cell>
          <cell r="HK233">
            <v>0</v>
          </cell>
          <cell r="HN233">
            <v>0</v>
          </cell>
          <cell r="HQ233">
            <v>0</v>
          </cell>
          <cell r="HT233">
            <v>0</v>
          </cell>
          <cell r="HW233">
            <v>0</v>
          </cell>
          <cell r="HZ233">
            <v>0</v>
          </cell>
          <cell r="IC233">
            <v>0</v>
          </cell>
          <cell r="IF233">
            <v>0</v>
          </cell>
        </row>
        <row r="234">
          <cell r="GP234" t="str">
            <v>Fuel Gas Billing Meter</v>
          </cell>
          <cell r="GS234">
            <v>0</v>
          </cell>
          <cell r="GV234">
            <v>0</v>
          </cell>
          <cell r="GY234">
            <v>0</v>
          </cell>
          <cell r="HB234">
            <v>0</v>
          </cell>
          <cell r="HE234">
            <v>0</v>
          </cell>
          <cell r="HH234">
            <v>0</v>
          </cell>
          <cell r="HK234">
            <v>0</v>
          </cell>
          <cell r="HN234">
            <v>0</v>
          </cell>
          <cell r="HQ234">
            <v>0</v>
          </cell>
          <cell r="HT234">
            <v>0</v>
          </cell>
          <cell r="HW234">
            <v>0</v>
          </cell>
          <cell r="HZ234">
            <v>0</v>
          </cell>
          <cell r="IC234">
            <v>0</v>
          </cell>
          <cell r="IF234">
            <v>0</v>
          </cell>
        </row>
        <row r="235">
          <cell r="GP235" t="str">
            <v>Manual Input 1</v>
          </cell>
          <cell r="GS235">
            <v>0</v>
          </cell>
          <cell r="GV235">
            <v>0</v>
          </cell>
          <cell r="GY235">
            <v>0</v>
          </cell>
          <cell r="HB235">
            <v>0</v>
          </cell>
          <cell r="HE235">
            <v>0</v>
          </cell>
          <cell r="HH235">
            <v>0</v>
          </cell>
          <cell r="HK235">
            <v>0</v>
          </cell>
          <cell r="HN235">
            <v>0</v>
          </cell>
          <cell r="HQ235">
            <v>0</v>
          </cell>
          <cell r="HT235">
            <v>0</v>
          </cell>
          <cell r="HW235">
            <v>0</v>
          </cell>
          <cell r="HZ235">
            <v>0</v>
          </cell>
          <cell r="IC235">
            <v>0</v>
          </cell>
          <cell r="IF235">
            <v>0</v>
          </cell>
        </row>
        <row r="236">
          <cell r="GP236" t="str">
            <v>Manual Input 2</v>
          </cell>
          <cell r="GS236">
            <v>0</v>
          </cell>
          <cell r="GV236">
            <v>0</v>
          </cell>
          <cell r="GY236">
            <v>0</v>
          </cell>
          <cell r="HB236">
            <v>0</v>
          </cell>
          <cell r="HE236">
            <v>0</v>
          </cell>
          <cell r="HH236">
            <v>0</v>
          </cell>
          <cell r="HK236">
            <v>0</v>
          </cell>
          <cell r="HN236">
            <v>0</v>
          </cell>
          <cell r="HQ236">
            <v>0</v>
          </cell>
          <cell r="HT236">
            <v>0</v>
          </cell>
          <cell r="HW236">
            <v>0</v>
          </cell>
          <cell r="HZ236">
            <v>0</v>
          </cell>
          <cell r="IC236">
            <v>0</v>
          </cell>
          <cell r="IF236">
            <v>0</v>
          </cell>
        </row>
        <row r="237">
          <cell r="GP237" t="str">
            <v>Manual Input 3</v>
          </cell>
          <cell r="GS237">
            <v>0</v>
          </cell>
          <cell r="GV237">
            <v>0</v>
          </cell>
          <cell r="GY237">
            <v>0</v>
          </cell>
          <cell r="HB237">
            <v>0</v>
          </cell>
          <cell r="HE237">
            <v>0</v>
          </cell>
          <cell r="HH237">
            <v>0</v>
          </cell>
          <cell r="HK237">
            <v>0</v>
          </cell>
          <cell r="HN237">
            <v>0</v>
          </cell>
          <cell r="HQ237">
            <v>0</v>
          </cell>
          <cell r="HT237">
            <v>0</v>
          </cell>
          <cell r="HW237">
            <v>0</v>
          </cell>
          <cell r="HZ237">
            <v>0</v>
          </cell>
          <cell r="IC237">
            <v>0</v>
          </cell>
          <cell r="IF237">
            <v>0</v>
          </cell>
        </row>
        <row r="238">
          <cell r="GP238" t="str">
            <v>Manual Input 4</v>
          </cell>
          <cell r="GS238">
            <v>0</v>
          </cell>
          <cell r="GV238">
            <v>0</v>
          </cell>
          <cell r="GY238">
            <v>0</v>
          </cell>
          <cell r="HB238">
            <v>0</v>
          </cell>
          <cell r="HE238">
            <v>0</v>
          </cell>
          <cell r="HH238">
            <v>0</v>
          </cell>
          <cell r="HK238">
            <v>0</v>
          </cell>
          <cell r="HN238">
            <v>0</v>
          </cell>
          <cell r="HQ238">
            <v>0</v>
          </cell>
          <cell r="HT238">
            <v>0</v>
          </cell>
          <cell r="HW238">
            <v>0</v>
          </cell>
          <cell r="HZ238">
            <v>0</v>
          </cell>
          <cell r="IC238">
            <v>0</v>
          </cell>
          <cell r="IF238">
            <v>0</v>
          </cell>
        </row>
        <row r="239">
          <cell r="GP239" t="str">
            <v>Manual Input 5</v>
          </cell>
          <cell r="GS239">
            <v>0</v>
          </cell>
          <cell r="GV239">
            <v>0</v>
          </cell>
          <cell r="GY239">
            <v>0</v>
          </cell>
          <cell r="HB239">
            <v>0</v>
          </cell>
          <cell r="HE239">
            <v>0</v>
          </cell>
          <cell r="HH239">
            <v>0</v>
          </cell>
          <cell r="HK239">
            <v>0</v>
          </cell>
          <cell r="HN239">
            <v>0</v>
          </cell>
          <cell r="HQ239">
            <v>0</v>
          </cell>
          <cell r="HT239">
            <v>0</v>
          </cell>
          <cell r="HW239">
            <v>0</v>
          </cell>
          <cell r="HZ239">
            <v>0</v>
          </cell>
          <cell r="IC239">
            <v>0</v>
          </cell>
          <cell r="IF239">
            <v>0</v>
          </cell>
        </row>
        <row r="240">
          <cell r="GP240" t="str">
            <v>Manual Input 6</v>
          </cell>
          <cell r="GS240">
            <v>0</v>
          </cell>
          <cell r="GV240">
            <v>0</v>
          </cell>
          <cell r="GY240">
            <v>0</v>
          </cell>
          <cell r="HB240">
            <v>0</v>
          </cell>
          <cell r="HE240">
            <v>0</v>
          </cell>
          <cell r="HH240">
            <v>0</v>
          </cell>
          <cell r="HK240">
            <v>0</v>
          </cell>
          <cell r="HN240">
            <v>0</v>
          </cell>
          <cell r="HQ240">
            <v>0</v>
          </cell>
          <cell r="HT240">
            <v>0</v>
          </cell>
          <cell r="HW240">
            <v>0</v>
          </cell>
          <cell r="HZ240">
            <v>0</v>
          </cell>
          <cell r="IC240">
            <v>0</v>
          </cell>
          <cell r="IF240">
            <v>0</v>
          </cell>
        </row>
        <row r="241">
          <cell r="GP241" t="str">
            <v>Manual Input 7</v>
          </cell>
          <cell r="GS241">
            <v>0</v>
          </cell>
          <cell r="GV241">
            <v>0</v>
          </cell>
          <cell r="GY241">
            <v>0</v>
          </cell>
          <cell r="HB241">
            <v>0</v>
          </cell>
          <cell r="HE241">
            <v>0</v>
          </cell>
          <cell r="HH241">
            <v>0</v>
          </cell>
          <cell r="HK241">
            <v>0</v>
          </cell>
          <cell r="HN241">
            <v>0</v>
          </cell>
          <cell r="HQ241">
            <v>0</v>
          </cell>
          <cell r="HT241">
            <v>0</v>
          </cell>
          <cell r="HW241">
            <v>0</v>
          </cell>
          <cell r="HZ241">
            <v>0</v>
          </cell>
          <cell r="IC241">
            <v>0</v>
          </cell>
          <cell r="IF241">
            <v>0</v>
          </cell>
        </row>
        <row r="242">
          <cell r="GP242" t="str">
            <v>Manual Input 8</v>
          </cell>
          <cell r="GS242">
            <v>0</v>
          </cell>
          <cell r="GV242">
            <v>0</v>
          </cell>
          <cell r="GY242">
            <v>0</v>
          </cell>
          <cell r="HB242">
            <v>0</v>
          </cell>
          <cell r="HE242">
            <v>0</v>
          </cell>
          <cell r="HH242">
            <v>0</v>
          </cell>
          <cell r="HK242">
            <v>0</v>
          </cell>
          <cell r="HN242">
            <v>0</v>
          </cell>
          <cell r="HQ242">
            <v>0</v>
          </cell>
          <cell r="HT242">
            <v>0</v>
          </cell>
          <cell r="HW242">
            <v>0</v>
          </cell>
          <cell r="HZ242">
            <v>0</v>
          </cell>
          <cell r="IC242">
            <v>0</v>
          </cell>
          <cell r="IF242">
            <v>0</v>
          </cell>
        </row>
        <row r="243">
          <cell r="GP243">
            <v>0</v>
          </cell>
          <cell r="GS243">
            <v>0</v>
          </cell>
          <cell r="GV243">
            <v>0</v>
          </cell>
          <cell r="GY243">
            <v>0</v>
          </cell>
          <cell r="HB243">
            <v>0</v>
          </cell>
          <cell r="HE243">
            <v>0</v>
          </cell>
          <cell r="HH243">
            <v>0</v>
          </cell>
          <cell r="HK243">
            <v>0</v>
          </cell>
          <cell r="HN243">
            <v>0</v>
          </cell>
          <cell r="HQ243">
            <v>0</v>
          </cell>
          <cell r="HT243">
            <v>0</v>
          </cell>
          <cell r="HW243">
            <v>0</v>
          </cell>
          <cell r="HZ243">
            <v>0</v>
          </cell>
          <cell r="IC243">
            <v>0</v>
          </cell>
          <cell r="IF243">
            <v>0</v>
          </cell>
        </row>
        <row r="244">
          <cell r="GP244">
            <v>0</v>
          </cell>
          <cell r="GS244">
            <v>0</v>
          </cell>
          <cell r="GV244">
            <v>0</v>
          </cell>
          <cell r="GY244">
            <v>0</v>
          </cell>
          <cell r="HB244">
            <v>0</v>
          </cell>
          <cell r="HE244">
            <v>0</v>
          </cell>
          <cell r="HH244">
            <v>0</v>
          </cell>
          <cell r="HK244">
            <v>0</v>
          </cell>
          <cell r="HN244">
            <v>0</v>
          </cell>
          <cell r="HQ244">
            <v>0</v>
          </cell>
          <cell r="HT244">
            <v>0</v>
          </cell>
          <cell r="HW244">
            <v>0</v>
          </cell>
          <cell r="HZ244">
            <v>0</v>
          </cell>
          <cell r="IC244">
            <v>0</v>
          </cell>
          <cell r="IF244">
            <v>0</v>
          </cell>
        </row>
        <row r="245">
          <cell r="GP245">
            <v>0</v>
          </cell>
          <cell r="GS245">
            <v>0</v>
          </cell>
          <cell r="GV245">
            <v>0</v>
          </cell>
          <cell r="GY245">
            <v>0</v>
          </cell>
          <cell r="HB245">
            <v>0</v>
          </cell>
          <cell r="HE245">
            <v>0</v>
          </cell>
          <cell r="HH245">
            <v>0</v>
          </cell>
          <cell r="HK245">
            <v>0</v>
          </cell>
          <cell r="HN245">
            <v>0</v>
          </cell>
          <cell r="HQ245">
            <v>0</v>
          </cell>
          <cell r="HT245">
            <v>0</v>
          </cell>
          <cell r="HW245">
            <v>0</v>
          </cell>
          <cell r="HZ245">
            <v>0</v>
          </cell>
          <cell r="IC245">
            <v>0</v>
          </cell>
          <cell r="IF245">
            <v>0</v>
          </cell>
        </row>
        <row r="246">
          <cell r="GP246">
            <v>0</v>
          </cell>
          <cell r="GS246">
            <v>0</v>
          </cell>
          <cell r="GV246">
            <v>0</v>
          </cell>
          <cell r="GY246">
            <v>0</v>
          </cell>
          <cell r="HB246">
            <v>0</v>
          </cell>
          <cell r="HE246">
            <v>0</v>
          </cell>
          <cell r="HH246">
            <v>0</v>
          </cell>
          <cell r="HK246">
            <v>0</v>
          </cell>
          <cell r="HN246">
            <v>0</v>
          </cell>
          <cell r="HQ246">
            <v>0</v>
          </cell>
          <cell r="HT246">
            <v>0</v>
          </cell>
          <cell r="HW246">
            <v>0</v>
          </cell>
          <cell r="HZ246">
            <v>0</v>
          </cell>
          <cell r="IC246">
            <v>0</v>
          </cell>
          <cell r="IF246">
            <v>0</v>
          </cell>
        </row>
        <row r="247">
          <cell r="GP247">
            <v>0</v>
          </cell>
          <cell r="GS247">
            <v>0</v>
          </cell>
          <cell r="GV247">
            <v>0</v>
          </cell>
          <cell r="GY247">
            <v>0</v>
          </cell>
          <cell r="HB247">
            <v>0</v>
          </cell>
          <cell r="HE247">
            <v>0</v>
          </cell>
          <cell r="HH247">
            <v>0</v>
          </cell>
          <cell r="HK247">
            <v>0</v>
          </cell>
          <cell r="HN247">
            <v>0</v>
          </cell>
          <cell r="HQ247">
            <v>0</v>
          </cell>
          <cell r="HT247">
            <v>0</v>
          </cell>
          <cell r="HW247">
            <v>0</v>
          </cell>
          <cell r="HZ247">
            <v>0</v>
          </cell>
          <cell r="IC247">
            <v>0</v>
          </cell>
          <cell r="IF247">
            <v>0</v>
          </cell>
        </row>
        <row r="248">
          <cell r="GP248">
            <v>0</v>
          </cell>
          <cell r="GS248">
            <v>0</v>
          </cell>
          <cell r="GV248">
            <v>0</v>
          </cell>
          <cell r="GY248">
            <v>0</v>
          </cell>
          <cell r="HB248">
            <v>0</v>
          </cell>
          <cell r="HE248">
            <v>0</v>
          </cell>
          <cell r="HH248">
            <v>0</v>
          </cell>
          <cell r="HK248">
            <v>0</v>
          </cell>
          <cell r="HN248">
            <v>0</v>
          </cell>
          <cell r="HQ248">
            <v>0</v>
          </cell>
          <cell r="HT248">
            <v>0</v>
          </cell>
          <cell r="HW248">
            <v>0</v>
          </cell>
          <cell r="HZ248">
            <v>0</v>
          </cell>
          <cell r="IC248">
            <v>0</v>
          </cell>
          <cell r="IF248">
            <v>0</v>
          </cell>
        </row>
        <row r="249">
          <cell r="GP249">
            <v>0</v>
          </cell>
          <cell r="GS249">
            <v>0</v>
          </cell>
          <cell r="GV249">
            <v>0</v>
          </cell>
          <cell r="GY249">
            <v>0</v>
          </cell>
          <cell r="HB249">
            <v>0</v>
          </cell>
          <cell r="HE249">
            <v>0</v>
          </cell>
          <cell r="HH249">
            <v>0</v>
          </cell>
          <cell r="HK249">
            <v>0</v>
          </cell>
          <cell r="HN249">
            <v>0</v>
          </cell>
          <cell r="HQ249">
            <v>0</v>
          </cell>
          <cell r="HT249">
            <v>0</v>
          </cell>
          <cell r="HW249">
            <v>0</v>
          </cell>
          <cell r="HZ249">
            <v>0</v>
          </cell>
          <cell r="IC249">
            <v>0</v>
          </cell>
          <cell r="IF249">
            <v>0</v>
          </cell>
        </row>
        <row r="250">
          <cell r="GP250">
            <v>0</v>
          </cell>
          <cell r="GS250">
            <v>0</v>
          </cell>
          <cell r="GV250">
            <v>0</v>
          </cell>
          <cell r="GY250">
            <v>0</v>
          </cell>
          <cell r="HB250">
            <v>0</v>
          </cell>
          <cell r="HE250">
            <v>0</v>
          </cell>
          <cell r="HH250">
            <v>0</v>
          </cell>
          <cell r="HK250">
            <v>0</v>
          </cell>
          <cell r="HN250">
            <v>0</v>
          </cell>
          <cell r="HQ250">
            <v>0</v>
          </cell>
          <cell r="HT250">
            <v>0</v>
          </cell>
          <cell r="HW250">
            <v>0</v>
          </cell>
          <cell r="HZ250">
            <v>0</v>
          </cell>
          <cell r="IC250">
            <v>0</v>
          </cell>
          <cell r="IF250">
            <v>0</v>
          </cell>
        </row>
        <row r="251">
          <cell r="GP251">
            <v>0</v>
          </cell>
          <cell r="GS251">
            <v>0</v>
          </cell>
          <cell r="GV251">
            <v>0</v>
          </cell>
          <cell r="GY251">
            <v>0</v>
          </cell>
          <cell r="HB251">
            <v>0</v>
          </cell>
          <cell r="HE251">
            <v>0</v>
          </cell>
          <cell r="HH251">
            <v>0</v>
          </cell>
          <cell r="HK251">
            <v>0</v>
          </cell>
          <cell r="HN251">
            <v>0</v>
          </cell>
          <cell r="HQ251">
            <v>0</v>
          </cell>
          <cell r="HT251">
            <v>0</v>
          </cell>
          <cell r="HW251">
            <v>0</v>
          </cell>
          <cell r="HZ251">
            <v>0</v>
          </cell>
          <cell r="IC251">
            <v>0</v>
          </cell>
          <cell r="IF251">
            <v>0</v>
          </cell>
        </row>
        <row r="252">
          <cell r="GP252">
            <v>0</v>
          </cell>
          <cell r="GS252">
            <v>0</v>
          </cell>
          <cell r="GV252">
            <v>0</v>
          </cell>
          <cell r="GY252">
            <v>0</v>
          </cell>
          <cell r="HB252">
            <v>0</v>
          </cell>
          <cell r="HE252">
            <v>0</v>
          </cell>
          <cell r="HH252">
            <v>0</v>
          </cell>
          <cell r="HK252">
            <v>0</v>
          </cell>
          <cell r="HN252">
            <v>0</v>
          </cell>
          <cell r="HQ252">
            <v>0</v>
          </cell>
          <cell r="HT252">
            <v>0</v>
          </cell>
          <cell r="HW252">
            <v>0</v>
          </cell>
          <cell r="HZ252">
            <v>0</v>
          </cell>
          <cell r="IC252">
            <v>0</v>
          </cell>
          <cell r="IF252">
            <v>0</v>
          </cell>
        </row>
        <row r="253">
          <cell r="GP253">
            <v>0</v>
          </cell>
          <cell r="GS253">
            <v>0</v>
          </cell>
          <cell r="GV253">
            <v>0</v>
          </cell>
          <cell r="GY253">
            <v>0</v>
          </cell>
          <cell r="HB253">
            <v>0</v>
          </cell>
          <cell r="HE253">
            <v>0</v>
          </cell>
          <cell r="HH253">
            <v>0</v>
          </cell>
          <cell r="HK253">
            <v>0</v>
          </cell>
          <cell r="HN253">
            <v>0</v>
          </cell>
          <cell r="HQ253">
            <v>0</v>
          </cell>
          <cell r="HT253">
            <v>0</v>
          </cell>
          <cell r="HW253">
            <v>0</v>
          </cell>
          <cell r="HZ253">
            <v>0</v>
          </cell>
          <cell r="IC253">
            <v>0</v>
          </cell>
          <cell r="IF253">
            <v>0</v>
          </cell>
        </row>
        <row r="254">
          <cell r="GP254">
            <v>0</v>
          </cell>
          <cell r="GS254">
            <v>0</v>
          </cell>
          <cell r="GV254">
            <v>0</v>
          </cell>
          <cell r="GY254">
            <v>0</v>
          </cell>
          <cell r="HB254">
            <v>0</v>
          </cell>
          <cell r="HE254">
            <v>0</v>
          </cell>
          <cell r="HH254">
            <v>0</v>
          </cell>
          <cell r="HK254">
            <v>0</v>
          </cell>
          <cell r="HN254">
            <v>0</v>
          </cell>
          <cell r="HQ254">
            <v>0</v>
          </cell>
          <cell r="HT254">
            <v>0</v>
          </cell>
          <cell r="HW254">
            <v>0</v>
          </cell>
          <cell r="HZ254">
            <v>0</v>
          </cell>
          <cell r="IC254">
            <v>0</v>
          </cell>
          <cell r="IF254">
            <v>0</v>
          </cell>
        </row>
        <row r="255">
          <cell r="GP255">
            <v>0</v>
          </cell>
          <cell r="GS255">
            <v>0</v>
          </cell>
          <cell r="GV255">
            <v>0</v>
          </cell>
          <cell r="GY255">
            <v>0</v>
          </cell>
          <cell r="HB255">
            <v>0</v>
          </cell>
          <cell r="HE255">
            <v>0</v>
          </cell>
          <cell r="HH255">
            <v>0</v>
          </cell>
          <cell r="HK255">
            <v>0</v>
          </cell>
          <cell r="HN255">
            <v>0</v>
          </cell>
          <cell r="HQ255">
            <v>0</v>
          </cell>
          <cell r="HT255">
            <v>0</v>
          </cell>
          <cell r="HW255">
            <v>0</v>
          </cell>
          <cell r="HZ255">
            <v>0</v>
          </cell>
          <cell r="IC255">
            <v>0</v>
          </cell>
          <cell r="IF255">
            <v>0</v>
          </cell>
        </row>
        <row r="256">
          <cell r="GP256">
            <v>0</v>
          </cell>
          <cell r="GS256">
            <v>0</v>
          </cell>
          <cell r="GV256">
            <v>0</v>
          </cell>
          <cell r="GY256">
            <v>0</v>
          </cell>
          <cell r="HB256">
            <v>0</v>
          </cell>
          <cell r="HE256">
            <v>0</v>
          </cell>
          <cell r="HH256">
            <v>0</v>
          </cell>
          <cell r="HK256">
            <v>0</v>
          </cell>
          <cell r="HN256">
            <v>0</v>
          </cell>
          <cell r="HQ256">
            <v>0</v>
          </cell>
          <cell r="HT256">
            <v>0</v>
          </cell>
          <cell r="HW256">
            <v>0</v>
          </cell>
          <cell r="HZ256">
            <v>0</v>
          </cell>
          <cell r="IC256">
            <v>0</v>
          </cell>
          <cell r="IF256">
            <v>0</v>
          </cell>
        </row>
        <row r="257">
          <cell r="GP257">
            <v>0</v>
          </cell>
          <cell r="GS257">
            <v>0</v>
          </cell>
          <cell r="GV257">
            <v>0</v>
          </cell>
          <cell r="GY257">
            <v>0</v>
          </cell>
          <cell r="HB257">
            <v>0</v>
          </cell>
          <cell r="HE257">
            <v>0</v>
          </cell>
          <cell r="HH257">
            <v>0</v>
          </cell>
          <cell r="HK257">
            <v>0</v>
          </cell>
          <cell r="HN257">
            <v>0</v>
          </cell>
          <cell r="HQ257">
            <v>0</v>
          </cell>
          <cell r="HT257">
            <v>0</v>
          </cell>
          <cell r="HW257">
            <v>0</v>
          </cell>
          <cell r="HZ257">
            <v>0</v>
          </cell>
          <cell r="IC257">
            <v>0</v>
          </cell>
          <cell r="IF257">
            <v>0</v>
          </cell>
        </row>
        <row r="258">
          <cell r="GP258">
            <v>0</v>
          </cell>
          <cell r="GS258">
            <v>0</v>
          </cell>
          <cell r="GV258">
            <v>0</v>
          </cell>
          <cell r="GY258">
            <v>0</v>
          </cell>
          <cell r="HB258">
            <v>0</v>
          </cell>
          <cell r="HE258">
            <v>0</v>
          </cell>
          <cell r="HH258">
            <v>0</v>
          </cell>
          <cell r="HK258">
            <v>0</v>
          </cell>
          <cell r="HN258">
            <v>0</v>
          </cell>
          <cell r="HQ258">
            <v>0</v>
          </cell>
          <cell r="HT258">
            <v>0</v>
          </cell>
          <cell r="HW258">
            <v>0</v>
          </cell>
          <cell r="HZ258">
            <v>0</v>
          </cell>
          <cell r="IC258">
            <v>0</v>
          </cell>
          <cell r="IF258">
            <v>0</v>
          </cell>
        </row>
        <row r="259">
          <cell r="GP259">
            <v>0</v>
          </cell>
          <cell r="GS259">
            <v>0</v>
          </cell>
          <cell r="GV259">
            <v>0</v>
          </cell>
          <cell r="GY259">
            <v>0</v>
          </cell>
          <cell r="HB259">
            <v>0</v>
          </cell>
          <cell r="HE259">
            <v>0</v>
          </cell>
          <cell r="HH259">
            <v>0</v>
          </cell>
          <cell r="HK259">
            <v>0</v>
          </cell>
          <cell r="HN259">
            <v>0</v>
          </cell>
          <cell r="HQ259">
            <v>0</v>
          </cell>
          <cell r="HT259">
            <v>0</v>
          </cell>
          <cell r="HW259">
            <v>0</v>
          </cell>
          <cell r="HZ259">
            <v>0</v>
          </cell>
          <cell r="IC259">
            <v>0</v>
          </cell>
          <cell r="IF259">
            <v>0</v>
          </cell>
        </row>
        <row r="264">
          <cell r="GQ264" t="str">
            <v>Electrical</v>
          </cell>
        </row>
        <row r="268">
          <cell r="GP268" t="str">
            <v>Description</v>
          </cell>
          <cell r="GS268">
            <v>1</v>
          </cell>
          <cell r="GV268">
            <v>2</v>
          </cell>
          <cell r="GY268">
            <v>3</v>
          </cell>
          <cell r="HB268">
            <v>4</v>
          </cell>
          <cell r="HE268">
            <v>5</v>
          </cell>
          <cell r="HH268">
            <v>6</v>
          </cell>
          <cell r="HK268">
            <v>7</v>
          </cell>
          <cell r="HN268">
            <v>8</v>
          </cell>
          <cell r="HQ268">
            <v>9</v>
          </cell>
          <cell r="HT268">
            <v>10</v>
          </cell>
          <cell r="HW268">
            <v>11</v>
          </cell>
          <cell r="HZ268">
            <v>12</v>
          </cell>
          <cell r="IC268">
            <v>13</v>
          </cell>
          <cell r="IF268">
            <v>14</v>
          </cell>
          <cell r="IG268">
            <v>15</v>
          </cell>
          <cell r="IH268">
            <v>16</v>
          </cell>
        </row>
        <row r="269">
          <cell r="GP269" t="str">
            <v>CTG GSU - GE 7241FA.05</v>
          </cell>
          <cell r="GQ269">
            <v>2000</v>
          </cell>
          <cell r="GS269">
            <v>2000</v>
          </cell>
          <cell r="GT269">
            <v>2000</v>
          </cell>
          <cell r="GV269">
            <v>2000</v>
          </cell>
          <cell r="GW269">
            <v>2000</v>
          </cell>
          <cell r="GY269">
            <v>2000</v>
          </cell>
          <cell r="GZ269">
            <v>2000</v>
          </cell>
          <cell r="HB269">
            <v>2000</v>
          </cell>
          <cell r="HC269">
            <v>2000</v>
          </cell>
          <cell r="HE269">
            <v>2000</v>
          </cell>
          <cell r="HF269">
            <v>2000</v>
          </cell>
          <cell r="HH269">
            <v>2000</v>
          </cell>
          <cell r="HI269">
            <v>2000</v>
          </cell>
          <cell r="HK269">
            <v>2000</v>
          </cell>
          <cell r="HL269">
            <v>2000</v>
          </cell>
          <cell r="HN269">
            <v>2000</v>
          </cell>
          <cell r="HO269">
            <v>2000</v>
          </cell>
          <cell r="HQ269">
            <v>2000</v>
          </cell>
          <cell r="HR269">
            <v>2000</v>
          </cell>
          <cell r="HT269">
            <v>2000</v>
          </cell>
          <cell r="HU269">
            <v>2000</v>
          </cell>
          <cell r="HW269">
            <v>2000</v>
          </cell>
          <cell r="HX269">
            <v>2000</v>
          </cell>
          <cell r="HZ269">
            <v>2000</v>
          </cell>
          <cell r="IA269">
            <v>2000</v>
          </cell>
          <cell r="IC269">
            <v>2000</v>
          </cell>
          <cell r="ID269">
            <v>2000</v>
          </cell>
          <cell r="IF269">
            <v>2000</v>
          </cell>
        </row>
        <row r="270">
          <cell r="GP270" t="str">
            <v>CTG Iso Phase Bus</v>
          </cell>
          <cell r="GQ270">
            <v>25</v>
          </cell>
          <cell r="GS270">
            <v>25</v>
          </cell>
          <cell r="GT270">
            <v>25</v>
          </cell>
          <cell r="GV270">
            <v>25</v>
          </cell>
          <cell r="GW270">
            <v>25</v>
          </cell>
          <cell r="GY270">
            <v>25</v>
          </cell>
          <cell r="GZ270">
            <v>25</v>
          </cell>
          <cell r="HB270">
            <v>25</v>
          </cell>
          <cell r="HC270">
            <v>25</v>
          </cell>
          <cell r="HE270">
            <v>25</v>
          </cell>
          <cell r="HF270">
            <v>25</v>
          </cell>
          <cell r="HH270">
            <v>25</v>
          </cell>
          <cell r="HI270">
            <v>25</v>
          </cell>
          <cell r="HK270">
            <v>25</v>
          </cell>
          <cell r="HL270">
            <v>25</v>
          </cell>
          <cell r="HN270">
            <v>25</v>
          </cell>
          <cell r="HO270">
            <v>25</v>
          </cell>
          <cell r="HQ270">
            <v>25</v>
          </cell>
          <cell r="HR270">
            <v>25</v>
          </cell>
          <cell r="HT270">
            <v>25</v>
          </cell>
          <cell r="HU270">
            <v>25</v>
          </cell>
          <cell r="HW270">
            <v>25</v>
          </cell>
          <cell r="HX270">
            <v>25</v>
          </cell>
          <cell r="HZ270">
            <v>25</v>
          </cell>
          <cell r="IA270">
            <v>25</v>
          </cell>
          <cell r="IC270">
            <v>25</v>
          </cell>
          <cell r="ID270">
            <v>25</v>
          </cell>
          <cell r="IF270">
            <v>25</v>
          </cell>
        </row>
        <row r="271">
          <cell r="GP271" t="str">
            <v>CT Generator Breaker</v>
          </cell>
          <cell r="GQ271">
            <v>1000</v>
          </cell>
          <cell r="GS271">
            <v>1000</v>
          </cell>
          <cell r="GT271">
            <v>1000</v>
          </cell>
          <cell r="GV271">
            <v>1000</v>
          </cell>
          <cell r="GW271">
            <v>1000</v>
          </cell>
          <cell r="GY271">
            <v>1000</v>
          </cell>
          <cell r="GZ271">
            <v>1000</v>
          </cell>
          <cell r="HB271">
            <v>1000</v>
          </cell>
          <cell r="HC271">
            <v>1000</v>
          </cell>
          <cell r="HE271">
            <v>1000</v>
          </cell>
          <cell r="HF271">
            <v>1000</v>
          </cell>
          <cell r="HH271">
            <v>1000</v>
          </cell>
          <cell r="HI271">
            <v>1000</v>
          </cell>
          <cell r="HK271">
            <v>1000</v>
          </cell>
          <cell r="HL271">
            <v>1000</v>
          </cell>
          <cell r="HN271">
            <v>1000</v>
          </cell>
          <cell r="HO271">
            <v>1000</v>
          </cell>
          <cell r="HQ271">
            <v>1000</v>
          </cell>
          <cell r="HR271">
            <v>1000</v>
          </cell>
          <cell r="HT271">
            <v>1000</v>
          </cell>
          <cell r="HU271">
            <v>1000</v>
          </cell>
          <cell r="HW271">
            <v>1000</v>
          </cell>
          <cell r="HX271">
            <v>1000</v>
          </cell>
          <cell r="HZ271">
            <v>1000</v>
          </cell>
          <cell r="IA271">
            <v>1000</v>
          </cell>
          <cell r="IC271">
            <v>1000</v>
          </cell>
          <cell r="ID271">
            <v>1000</v>
          </cell>
          <cell r="IF271">
            <v>1000</v>
          </cell>
        </row>
        <row r="272">
          <cell r="GP272">
            <v>0</v>
          </cell>
          <cell r="GS272">
            <v>0</v>
          </cell>
          <cell r="GV272">
            <v>0</v>
          </cell>
          <cell r="GY272">
            <v>0</v>
          </cell>
          <cell r="HB272">
            <v>0</v>
          </cell>
          <cell r="HE272">
            <v>0</v>
          </cell>
          <cell r="HH272">
            <v>0</v>
          </cell>
          <cell r="HK272">
            <v>0</v>
          </cell>
          <cell r="HN272">
            <v>0</v>
          </cell>
          <cell r="HQ272">
            <v>0</v>
          </cell>
          <cell r="HT272">
            <v>0</v>
          </cell>
          <cell r="HW272">
            <v>0</v>
          </cell>
          <cell r="HZ272">
            <v>0</v>
          </cell>
          <cell r="IC272">
            <v>0</v>
          </cell>
          <cell r="IF272">
            <v>0</v>
          </cell>
        </row>
        <row r="273">
          <cell r="GP273" t="str">
            <v>STG Iso Phase Bus</v>
          </cell>
          <cell r="GQ273">
            <v>25</v>
          </cell>
          <cell r="GS273">
            <v>25</v>
          </cell>
          <cell r="GT273">
            <v>25</v>
          </cell>
          <cell r="GV273">
            <v>25</v>
          </cell>
          <cell r="GW273">
            <v>25</v>
          </cell>
          <cell r="GY273">
            <v>25</v>
          </cell>
          <cell r="GZ273">
            <v>25</v>
          </cell>
          <cell r="HB273">
            <v>25</v>
          </cell>
          <cell r="HC273">
            <v>25</v>
          </cell>
          <cell r="HE273">
            <v>25</v>
          </cell>
          <cell r="HF273">
            <v>25</v>
          </cell>
          <cell r="HH273">
            <v>25</v>
          </cell>
          <cell r="HI273">
            <v>25</v>
          </cell>
          <cell r="HK273">
            <v>25</v>
          </cell>
          <cell r="HL273">
            <v>25</v>
          </cell>
          <cell r="HN273">
            <v>25</v>
          </cell>
          <cell r="HO273">
            <v>25</v>
          </cell>
          <cell r="HQ273">
            <v>25</v>
          </cell>
          <cell r="HR273">
            <v>25</v>
          </cell>
          <cell r="HT273">
            <v>25</v>
          </cell>
          <cell r="HU273">
            <v>25</v>
          </cell>
          <cell r="HW273">
            <v>25</v>
          </cell>
          <cell r="HX273">
            <v>25</v>
          </cell>
          <cell r="HZ273">
            <v>25</v>
          </cell>
          <cell r="IA273">
            <v>25</v>
          </cell>
          <cell r="IC273">
            <v>25</v>
          </cell>
          <cell r="ID273">
            <v>25</v>
          </cell>
          <cell r="IF273">
            <v>25</v>
          </cell>
        </row>
        <row r="274">
          <cell r="GP274" t="str">
            <v>ST Generator Breaker</v>
          </cell>
          <cell r="GQ274">
            <v>1000</v>
          </cell>
          <cell r="GS274">
            <v>1000</v>
          </cell>
          <cell r="GT274">
            <v>1000</v>
          </cell>
          <cell r="GV274">
            <v>1000</v>
          </cell>
          <cell r="GW274">
            <v>1000</v>
          </cell>
          <cell r="GY274">
            <v>1000</v>
          </cell>
          <cell r="GZ274">
            <v>1000</v>
          </cell>
          <cell r="HB274">
            <v>1000</v>
          </cell>
          <cell r="HC274">
            <v>1000</v>
          </cell>
          <cell r="HE274">
            <v>1000</v>
          </cell>
          <cell r="HF274">
            <v>1000</v>
          </cell>
          <cell r="HH274">
            <v>1000</v>
          </cell>
          <cell r="HI274">
            <v>1000</v>
          </cell>
          <cell r="HK274">
            <v>1000</v>
          </cell>
          <cell r="HL274">
            <v>1000</v>
          </cell>
          <cell r="HN274">
            <v>1000</v>
          </cell>
          <cell r="HO274">
            <v>1000</v>
          </cell>
          <cell r="HQ274">
            <v>1000</v>
          </cell>
          <cell r="HR274">
            <v>1000</v>
          </cell>
          <cell r="HT274">
            <v>1000</v>
          </cell>
          <cell r="HU274">
            <v>1000</v>
          </cell>
          <cell r="HW274">
            <v>1000</v>
          </cell>
          <cell r="HX274">
            <v>1000</v>
          </cell>
          <cell r="HZ274">
            <v>1000</v>
          </cell>
          <cell r="IA274">
            <v>1000</v>
          </cell>
          <cell r="IC274">
            <v>1000</v>
          </cell>
          <cell r="ID274">
            <v>1000</v>
          </cell>
          <cell r="IF274">
            <v>1000</v>
          </cell>
        </row>
        <row r="275">
          <cell r="GP275" t="str">
            <v>Aux. Transformers</v>
          </cell>
          <cell r="GQ275">
            <v>100</v>
          </cell>
          <cell r="GS275">
            <v>100</v>
          </cell>
          <cell r="GT275">
            <v>100</v>
          </cell>
          <cell r="GV275">
            <v>100</v>
          </cell>
          <cell r="GW275">
            <v>100</v>
          </cell>
          <cell r="GY275">
            <v>100</v>
          </cell>
          <cell r="GZ275">
            <v>100</v>
          </cell>
          <cell r="HB275">
            <v>100</v>
          </cell>
          <cell r="HC275">
            <v>100</v>
          </cell>
          <cell r="HE275">
            <v>100</v>
          </cell>
          <cell r="HF275">
            <v>100</v>
          </cell>
          <cell r="HH275">
            <v>100</v>
          </cell>
          <cell r="HI275">
            <v>100</v>
          </cell>
          <cell r="HK275">
            <v>100</v>
          </cell>
          <cell r="HL275">
            <v>100</v>
          </cell>
          <cell r="HN275">
            <v>100</v>
          </cell>
          <cell r="HO275">
            <v>100</v>
          </cell>
          <cell r="HQ275">
            <v>100</v>
          </cell>
          <cell r="HR275">
            <v>100</v>
          </cell>
          <cell r="HT275">
            <v>100</v>
          </cell>
          <cell r="HU275">
            <v>100</v>
          </cell>
          <cell r="HW275">
            <v>100</v>
          </cell>
          <cell r="HX275">
            <v>100</v>
          </cell>
          <cell r="HZ275">
            <v>100</v>
          </cell>
          <cell r="IA275">
            <v>100</v>
          </cell>
          <cell r="IC275">
            <v>100</v>
          </cell>
          <cell r="ID275">
            <v>100</v>
          </cell>
          <cell r="IF275">
            <v>100</v>
          </cell>
        </row>
        <row r="276">
          <cell r="GP276">
            <v>0</v>
          </cell>
          <cell r="GS276">
            <v>0</v>
          </cell>
          <cell r="GV276">
            <v>0</v>
          </cell>
          <cell r="GY276">
            <v>0</v>
          </cell>
          <cell r="HB276">
            <v>0</v>
          </cell>
          <cell r="HE276">
            <v>0</v>
          </cell>
          <cell r="HH276">
            <v>0</v>
          </cell>
          <cell r="HK276">
            <v>0</v>
          </cell>
          <cell r="HN276">
            <v>0</v>
          </cell>
          <cell r="HQ276">
            <v>0</v>
          </cell>
          <cell r="HT276">
            <v>0</v>
          </cell>
          <cell r="HW276">
            <v>0</v>
          </cell>
          <cell r="HZ276">
            <v>0</v>
          </cell>
          <cell r="IC276">
            <v>0</v>
          </cell>
          <cell r="IF276">
            <v>0</v>
          </cell>
        </row>
        <row r="277">
          <cell r="GP277" t="str">
            <v>PDC</v>
          </cell>
          <cell r="GQ277">
            <v>5</v>
          </cell>
          <cell r="GS277">
            <v>5</v>
          </cell>
          <cell r="GT277">
            <v>5</v>
          </cell>
          <cell r="GV277">
            <v>5</v>
          </cell>
          <cell r="GW277">
            <v>5</v>
          </cell>
          <cell r="GY277">
            <v>5</v>
          </cell>
          <cell r="GZ277">
            <v>5</v>
          </cell>
          <cell r="HB277">
            <v>5</v>
          </cell>
          <cell r="HC277">
            <v>5</v>
          </cell>
          <cell r="HE277">
            <v>5</v>
          </cell>
          <cell r="HF277">
            <v>5</v>
          </cell>
          <cell r="HH277">
            <v>5</v>
          </cell>
          <cell r="HI277">
            <v>5</v>
          </cell>
          <cell r="HK277">
            <v>5</v>
          </cell>
          <cell r="HL277">
            <v>5</v>
          </cell>
          <cell r="HN277">
            <v>5</v>
          </cell>
          <cell r="HO277">
            <v>5</v>
          </cell>
          <cell r="HQ277">
            <v>5</v>
          </cell>
          <cell r="HR277">
            <v>5</v>
          </cell>
          <cell r="HT277">
            <v>5</v>
          </cell>
          <cell r="HU277">
            <v>5</v>
          </cell>
          <cell r="HW277">
            <v>5</v>
          </cell>
          <cell r="HX277">
            <v>5</v>
          </cell>
          <cell r="HZ277">
            <v>5</v>
          </cell>
          <cell r="IA277">
            <v>5</v>
          </cell>
          <cell r="IC277">
            <v>5</v>
          </cell>
          <cell r="ID277">
            <v>5</v>
          </cell>
          <cell r="IF277">
            <v>5</v>
          </cell>
        </row>
        <row r="278">
          <cell r="GP278" t="str">
            <v>480V Non segregated Bus Type 1</v>
          </cell>
          <cell r="GQ278">
            <v>200</v>
          </cell>
          <cell r="GS278">
            <v>200</v>
          </cell>
          <cell r="GT278">
            <v>200</v>
          </cell>
          <cell r="GV278">
            <v>200</v>
          </cell>
          <cell r="GW278">
            <v>200</v>
          </cell>
          <cell r="GY278">
            <v>200</v>
          </cell>
          <cell r="GZ278">
            <v>200</v>
          </cell>
          <cell r="HB278">
            <v>200</v>
          </cell>
          <cell r="HC278">
            <v>200</v>
          </cell>
          <cell r="HE278">
            <v>200</v>
          </cell>
          <cell r="HF278">
            <v>200</v>
          </cell>
          <cell r="HH278">
            <v>200</v>
          </cell>
          <cell r="HI278">
            <v>200</v>
          </cell>
          <cell r="HK278">
            <v>200</v>
          </cell>
          <cell r="HL278">
            <v>200</v>
          </cell>
          <cell r="HN278">
            <v>200</v>
          </cell>
          <cell r="HO278">
            <v>200</v>
          </cell>
          <cell r="HQ278">
            <v>200</v>
          </cell>
          <cell r="HR278">
            <v>200</v>
          </cell>
          <cell r="HT278">
            <v>200</v>
          </cell>
          <cell r="HU278">
            <v>200</v>
          </cell>
          <cell r="HW278">
            <v>200</v>
          </cell>
          <cell r="HX278">
            <v>200</v>
          </cell>
          <cell r="HZ278">
            <v>200</v>
          </cell>
          <cell r="IA278">
            <v>200</v>
          </cell>
          <cell r="IC278">
            <v>200</v>
          </cell>
          <cell r="ID278">
            <v>200</v>
          </cell>
          <cell r="IF278">
            <v>200</v>
          </cell>
        </row>
        <row r="279">
          <cell r="GP279" t="str">
            <v>480V Non segregated Bus Type 2</v>
          </cell>
          <cell r="GQ279">
            <v>200</v>
          </cell>
          <cell r="GS279">
            <v>200</v>
          </cell>
          <cell r="GT279">
            <v>200</v>
          </cell>
          <cell r="GV279">
            <v>200</v>
          </cell>
          <cell r="GW279">
            <v>200</v>
          </cell>
          <cell r="GY279">
            <v>200</v>
          </cell>
          <cell r="GZ279">
            <v>200</v>
          </cell>
          <cell r="HB279">
            <v>200</v>
          </cell>
          <cell r="HC279">
            <v>200</v>
          </cell>
          <cell r="HE279">
            <v>200</v>
          </cell>
          <cell r="HF279">
            <v>200</v>
          </cell>
          <cell r="HH279">
            <v>200</v>
          </cell>
          <cell r="HI279">
            <v>200</v>
          </cell>
          <cell r="HK279">
            <v>200</v>
          </cell>
          <cell r="HL279">
            <v>200</v>
          </cell>
          <cell r="HN279">
            <v>200</v>
          </cell>
          <cell r="HO279">
            <v>200</v>
          </cell>
          <cell r="HQ279">
            <v>200</v>
          </cell>
          <cell r="HR279">
            <v>200</v>
          </cell>
          <cell r="HT279">
            <v>200</v>
          </cell>
          <cell r="HU279">
            <v>200</v>
          </cell>
          <cell r="HW279">
            <v>200</v>
          </cell>
          <cell r="HX279">
            <v>200</v>
          </cell>
          <cell r="HZ279">
            <v>200</v>
          </cell>
          <cell r="IA279">
            <v>200</v>
          </cell>
          <cell r="IC279">
            <v>200</v>
          </cell>
          <cell r="ID279">
            <v>200</v>
          </cell>
          <cell r="IF279">
            <v>200</v>
          </cell>
        </row>
        <row r="280">
          <cell r="GP280" t="str">
            <v>480V Non segregated Bus Type 3</v>
          </cell>
          <cell r="GQ280">
            <v>200</v>
          </cell>
          <cell r="GS280">
            <v>200</v>
          </cell>
          <cell r="GT280">
            <v>200</v>
          </cell>
          <cell r="GV280">
            <v>200</v>
          </cell>
          <cell r="GW280">
            <v>200</v>
          </cell>
          <cell r="GY280">
            <v>200</v>
          </cell>
          <cell r="GZ280">
            <v>200</v>
          </cell>
          <cell r="HB280">
            <v>200</v>
          </cell>
          <cell r="HC280">
            <v>200</v>
          </cell>
          <cell r="HE280">
            <v>200</v>
          </cell>
          <cell r="HF280">
            <v>200</v>
          </cell>
          <cell r="HH280">
            <v>200</v>
          </cell>
          <cell r="HI280">
            <v>200</v>
          </cell>
          <cell r="HK280">
            <v>200</v>
          </cell>
          <cell r="HL280">
            <v>200</v>
          </cell>
          <cell r="HN280">
            <v>200</v>
          </cell>
          <cell r="HO280">
            <v>200</v>
          </cell>
          <cell r="HQ280">
            <v>200</v>
          </cell>
          <cell r="HR280">
            <v>200</v>
          </cell>
          <cell r="HT280">
            <v>200</v>
          </cell>
          <cell r="HU280">
            <v>200</v>
          </cell>
          <cell r="HW280">
            <v>200</v>
          </cell>
          <cell r="HX280">
            <v>200</v>
          </cell>
          <cell r="HZ280">
            <v>200</v>
          </cell>
          <cell r="IA280">
            <v>200</v>
          </cell>
          <cell r="IC280">
            <v>200</v>
          </cell>
          <cell r="ID280">
            <v>200</v>
          </cell>
          <cell r="IF280">
            <v>200</v>
          </cell>
        </row>
        <row r="281">
          <cell r="GP281" t="str">
            <v>480V Non segregated Bus Type 4</v>
          </cell>
          <cell r="GQ281">
            <v>200</v>
          </cell>
          <cell r="GS281">
            <v>200</v>
          </cell>
          <cell r="GT281">
            <v>200</v>
          </cell>
          <cell r="GV281">
            <v>200</v>
          </cell>
          <cell r="GW281">
            <v>200</v>
          </cell>
          <cell r="GY281">
            <v>200</v>
          </cell>
          <cell r="GZ281">
            <v>200</v>
          </cell>
          <cell r="HB281">
            <v>200</v>
          </cell>
          <cell r="HC281">
            <v>200</v>
          </cell>
          <cell r="HE281">
            <v>200</v>
          </cell>
          <cell r="HF281">
            <v>200</v>
          </cell>
          <cell r="HH281">
            <v>200</v>
          </cell>
          <cell r="HI281">
            <v>200</v>
          </cell>
          <cell r="HK281">
            <v>200</v>
          </cell>
          <cell r="HL281">
            <v>200</v>
          </cell>
          <cell r="HN281">
            <v>200</v>
          </cell>
          <cell r="HO281">
            <v>200</v>
          </cell>
          <cell r="HQ281">
            <v>200</v>
          </cell>
          <cell r="HR281">
            <v>200</v>
          </cell>
          <cell r="HT281">
            <v>200</v>
          </cell>
          <cell r="HU281">
            <v>200</v>
          </cell>
          <cell r="HW281">
            <v>200</v>
          </cell>
          <cell r="HX281">
            <v>200</v>
          </cell>
          <cell r="HZ281">
            <v>200</v>
          </cell>
          <cell r="IA281">
            <v>200</v>
          </cell>
          <cell r="IC281">
            <v>200</v>
          </cell>
          <cell r="ID281">
            <v>200</v>
          </cell>
          <cell r="IF281">
            <v>200</v>
          </cell>
        </row>
        <row r="282">
          <cell r="GP282" t="str">
            <v>LV Switchgear</v>
          </cell>
          <cell r="GQ282">
            <v>100</v>
          </cell>
          <cell r="GS282">
            <v>100</v>
          </cell>
          <cell r="GT282">
            <v>100</v>
          </cell>
          <cell r="GV282">
            <v>100</v>
          </cell>
          <cell r="GW282">
            <v>100</v>
          </cell>
          <cell r="GY282">
            <v>100</v>
          </cell>
          <cell r="GZ282">
            <v>100</v>
          </cell>
          <cell r="HB282">
            <v>100</v>
          </cell>
          <cell r="HC282">
            <v>100</v>
          </cell>
          <cell r="HE282">
            <v>100</v>
          </cell>
          <cell r="HF282">
            <v>100</v>
          </cell>
          <cell r="HH282">
            <v>100</v>
          </cell>
          <cell r="HI282">
            <v>100</v>
          </cell>
          <cell r="HK282">
            <v>100</v>
          </cell>
          <cell r="HL282">
            <v>100</v>
          </cell>
          <cell r="HN282">
            <v>100</v>
          </cell>
          <cell r="HO282">
            <v>100</v>
          </cell>
          <cell r="HQ282">
            <v>100</v>
          </cell>
          <cell r="HR282">
            <v>100</v>
          </cell>
          <cell r="HT282">
            <v>100</v>
          </cell>
          <cell r="HU282">
            <v>100</v>
          </cell>
          <cell r="HW282">
            <v>100</v>
          </cell>
          <cell r="HX282">
            <v>100</v>
          </cell>
          <cell r="HZ282">
            <v>100</v>
          </cell>
          <cell r="IA282">
            <v>100</v>
          </cell>
          <cell r="IC282">
            <v>100</v>
          </cell>
          <cell r="ID282">
            <v>100</v>
          </cell>
          <cell r="IF282">
            <v>100</v>
          </cell>
        </row>
        <row r="283">
          <cell r="GP283" t="str">
            <v>MCCs - CTG</v>
          </cell>
          <cell r="GQ283">
            <v>100</v>
          </cell>
          <cell r="GS283">
            <v>100</v>
          </cell>
          <cell r="GT283">
            <v>100</v>
          </cell>
          <cell r="GV283">
            <v>100</v>
          </cell>
          <cell r="GW283">
            <v>100</v>
          </cell>
          <cell r="GY283">
            <v>100</v>
          </cell>
          <cell r="GZ283">
            <v>100</v>
          </cell>
          <cell r="HB283">
            <v>100</v>
          </cell>
          <cell r="HC283">
            <v>100</v>
          </cell>
          <cell r="HE283">
            <v>100</v>
          </cell>
          <cell r="HF283">
            <v>100</v>
          </cell>
          <cell r="HH283">
            <v>100</v>
          </cell>
          <cell r="HI283">
            <v>100</v>
          </cell>
          <cell r="HK283">
            <v>100</v>
          </cell>
          <cell r="HL283">
            <v>100</v>
          </cell>
          <cell r="HN283">
            <v>100</v>
          </cell>
          <cell r="HO283">
            <v>100</v>
          </cell>
          <cell r="HQ283">
            <v>100</v>
          </cell>
          <cell r="HR283">
            <v>100</v>
          </cell>
          <cell r="HT283">
            <v>100</v>
          </cell>
          <cell r="HU283">
            <v>100</v>
          </cell>
          <cell r="HW283">
            <v>100</v>
          </cell>
          <cell r="HX283">
            <v>100</v>
          </cell>
          <cell r="HZ283">
            <v>100</v>
          </cell>
          <cell r="IA283">
            <v>100</v>
          </cell>
          <cell r="IC283">
            <v>100</v>
          </cell>
          <cell r="ID283">
            <v>100</v>
          </cell>
          <cell r="IF283">
            <v>100</v>
          </cell>
        </row>
        <row r="284">
          <cell r="GP284" t="str">
            <v>MCCs - HRSG</v>
          </cell>
          <cell r="GQ284">
            <v>100</v>
          </cell>
          <cell r="GS284">
            <v>100</v>
          </cell>
          <cell r="GT284">
            <v>100</v>
          </cell>
          <cell r="GV284">
            <v>100</v>
          </cell>
          <cell r="GW284">
            <v>100</v>
          </cell>
          <cell r="GY284">
            <v>100</v>
          </cell>
          <cell r="GZ284">
            <v>100</v>
          </cell>
          <cell r="HB284">
            <v>100</v>
          </cell>
          <cell r="HC284">
            <v>100</v>
          </cell>
          <cell r="HE284">
            <v>100</v>
          </cell>
          <cell r="HF284">
            <v>100</v>
          </cell>
          <cell r="HH284">
            <v>100</v>
          </cell>
          <cell r="HI284">
            <v>100</v>
          </cell>
          <cell r="HK284">
            <v>100</v>
          </cell>
          <cell r="HL284">
            <v>100</v>
          </cell>
          <cell r="HN284">
            <v>100</v>
          </cell>
          <cell r="HO284">
            <v>100</v>
          </cell>
          <cell r="HQ284">
            <v>100</v>
          </cell>
          <cell r="HR284">
            <v>100</v>
          </cell>
          <cell r="HT284">
            <v>100</v>
          </cell>
          <cell r="HU284">
            <v>100</v>
          </cell>
          <cell r="HW284">
            <v>100</v>
          </cell>
          <cell r="HX284">
            <v>100</v>
          </cell>
          <cell r="HZ284">
            <v>100</v>
          </cell>
          <cell r="IA284">
            <v>100</v>
          </cell>
          <cell r="IC284">
            <v>100</v>
          </cell>
          <cell r="ID284">
            <v>100</v>
          </cell>
          <cell r="IF284">
            <v>100</v>
          </cell>
        </row>
        <row r="285">
          <cell r="GP285" t="str">
            <v>MCCs - STG</v>
          </cell>
          <cell r="GQ285">
            <v>100</v>
          </cell>
          <cell r="GS285">
            <v>100</v>
          </cell>
          <cell r="GT285">
            <v>100</v>
          </cell>
          <cell r="GV285">
            <v>100</v>
          </cell>
          <cell r="GW285">
            <v>100</v>
          </cell>
          <cell r="GY285">
            <v>100</v>
          </cell>
          <cell r="GZ285">
            <v>100</v>
          </cell>
          <cell r="HB285">
            <v>100</v>
          </cell>
          <cell r="HC285">
            <v>100</v>
          </cell>
          <cell r="HE285">
            <v>100</v>
          </cell>
          <cell r="HF285">
            <v>100</v>
          </cell>
          <cell r="HH285">
            <v>100</v>
          </cell>
          <cell r="HI285">
            <v>100</v>
          </cell>
          <cell r="HK285">
            <v>100</v>
          </cell>
          <cell r="HL285">
            <v>100</v>
          </cell>
          <cell r="HN285">
            <v>100</v>
          </cell>
          <cell r="HO285">
            <v>100</v>
          </cell>
          <cell r="HQ285">
            <v>100</v>
          </cell>
          <cell r="HR285">
            <v>100</v>
          </cell>
          <cell r="HT285">
            <v>100</v>
          </cell>
          <cell r="HU285">
            <v>100</v>
          </cell>
          <cell r="HW285">
            <v>100</v>
          </cell>
          <cell r="HX285">
            <v>100</v>
          </cell>
          <cell r="HZ285">
            <v>100</v>
          </cell>
          <cell r="IA285">
            <v>100</v>
          </cell>
          <cell r="IC285">
            <v>100</v>
          </cell>
          <cell r="ID285">
            <v>100</v>
          </cell>
          <cell r="IF285">
            <v>100</v>
          </cell>
        </row>
        <row r="286">
          <cell r="GP286" t="str">
            <v>MCCs</v>
          </cell>
          <cell r="GQ286">
            <v>100</v>
          </cell>
          <cell r="GS286">
            <v>100</v>
          </cell>
          <cell r="GT286">
            <v>100</v>
          </cell>
          <cell r="GV286">
            <v>100</v>
          </cell>
          <cell r="GW286">
            <v>100</v>
          </cell>
          <cell r="GY286">
            <v>100</v>
          </cell>
          <cell r="GZ286">
            <v>100</v>
          </cell>
          <cell r="HB286">
            <v>100</v>
          </cell>
          <cell r="HC286">
            <v>100</v>
          </cell>
          <cell r="HE286">
            <v>100</v>
          </cell>
          <cell r="HF286">
            <v>100</v>
          </cell>
          <cell r="HH286">
            <v>100</v>
          </cell>
          <cell r="HI286">
            <v>100</v>
          </cell>
          <cell r="HK286">
            <v>100</v>
          </cell>
          <cell r="HL286">
            <v>100</v>
          </cell>
          <cell r="HN286">
            <v>100</v>
          </cell>
          <cell r="HO286">
            <v>100</v>
          </cell>
          <cell r="HQ286">
            <v>100</v>
          </cell>
          <cell r="HR286">
            <v>100</v>
          </cell>
          <cell r="HT286">
            <v>100</v>
          </cell>
          <cell r="HU286">
            <v>100</v>
          </cell>
          <cell r="HW286">
            <v>100</v>
          </cell>
          <cell r="HX286">
            <v>100</v>
          </cell>
          <cell r="HZ286">
            <v>100</v>
          </cell>
          <cell r="IA286">
            <v>100</v>
          </cell>
          <cell r="IC286">
            <v>100</v>
          </cell>
          <cell r="ID286">
            <v>100</v>
          </cell>
          <cell r="IF286">
            <v>100</v>
          </cell>
        </row>
        <row r="287">
          <cell r="GP287" t="str">
            <v xml:space="preserve">Plant Dependant MCCs - </v>
          </cell>
          <cell r="GQ287">
            <v>100</v>
          </cell>
          <cell r="GS287">
            <v>100</v>
          </cell>
          <cell r="GT287">
            <v>100</v>
          </cell>
          <cell r="GV287">
            <v>100</v>
          </cell>
          <cell r="GW287">
            <v>100</v>
          </cell>
          <cell r="GY287">
            <v>100</v>
          </cell>
          <cell r="GZ287">
            <v>100</v>
          </cell>
          <cell r="HB287">
            <v>100</v>
          </cell>
          <cell r="HC287">
            <v>100</v>
          </cell>
          <cell r="HE287">
            <v>100</v>
          </cell>
          <cell r="HF287">
            <v>100</v>
          </cell>
          <cell r="HH287">
            <v>100</v>
          </cell>
          <cell r="HI287">
            <v>100</v>
          </cell>
          <cell r="HK287">
            <v>100</v>
          </cell>
          <cell r="HL287">
            <v>100</v>
          </cell>
          <cell r="HN287">
            <v>100</v>
          </cell>
          <cell r="HO287">
            <v>100</v>
          </cell>
          <cell r="HQ287">
            <v>100</v>
          </cell>
          <cell r="HR287">
            <v>100</v>
          </cell>
          <cell r="HT287">
            <v>100</v>
          </cell>
          <cell r="HU287">
            <v>100</v>
          </cell>
          <cell r="HW287">
            <v>100</v>
          </cell>
          <cell r="HX287">
            <v>100</v>
          </cell>
          <cell r="HZ287">
            <v>100</v>
          </cell>
          <cell r="IA287">
            <v>100</v>
          </cell>
          <cell r="IC287">
            <v>100</v>
          </cell>
          <cell r="ID287">
            <v>100</v>
          </cell>
          <cell r="IF287">
            <v>100</v>
          </cell>
        </row>
        <row r="288">
          <cell r="GP288" t="str">
            <v xml:space="preserve">Plant Dependant MCCs - </v>
          </cell>
          <cell r="GQ288">
            <v>100</v>
          </cell>
          <cell r="GS288">
            <v>100</v>
          </cell>
          <cell r="GT288">
            <v>100</v>
          </cell>
          <cell r="GV288">
            <v>100</v>
          </cell>
          <cell r="GW288">
            <v>100</v>
          </cell>
          <cell r="GY288">
            <v>100</v>
          </cell>
          <cell r="GZ288">
            <v>100</v>
          </cell>
          <cell r="HB288">
            <v>100</v>
          </cell>
          <cell r="HC288">
            <v>100</v>
          </cell>
          <cell r="HE288">
            <v>100</v>
          </cell>
          <cell r="HF288">
            <v>100</v>
          </cell>
          <cell r="HH288">
            <v>100</v>
          </cell>
          <cell r="HI288">
            <v>100</v>
          </cell>
          <cell r="HK288">
            <v>100</v>
          </cell>
          <cell r="HL288">
            <v>100</v>
          </cell>
          <cell r="HN288">
            <v>100</v>
          </cell>
          <cell r="HO288">
            <v>100</v>
          </cell>
          <cell r="HQ288">
            <v>100</v>
          </cell>
          <cell r="HR288">
            <v>100</v>
          </cell>
          <cell r="HT288">
            <v>100</v>
          </cell>
          <cell r="HU288">
            <v>100</v>
          </cell>
          <cell r="HW288">
            <v>100</v>
          </cell>
          <cell r="HX288">
            <v>100</v>
          </cell>
          <cell r="HZ288">
            <v>100</v>
          </cell>
          <cell r="IA288">
            <v>100</v>
          </cell>
          <cell r="IC288">
            <v>100</v>
          </cell>
          <cell r="ID288">
            <v>100</v>
          </cell>
          <cell r="IF288">
            <v>100</v>
          </cell>
        </row>
        <row r="289">
          <cell r="GP289" t="str">
            <v>COOLING TOWER MCCs</v>
          </cell>
          <cell r="GQ289">
            <v>100</v>
          </cell>
          <cell r="GS289">
            <v>100</v>
          </cell>
          <cell r="GT289">
            <v>100</v>
          </cell>
          <cell r="GV289">
            <v>100</v>
          </cell>
          <cell r="GW289">
            <v>100</v>
          </cell>
          <cell r="GY289">
            <v>100</v>
          </cell>
          <cell r="GZ289">
            <v>100</v>
          </cell>
          <cell r="HB289">
            <v>100</v>
          </cell>
          <cell r="HC289">
            <v>100</v>
          </cell>
          <cell r="HE289">
            <v>100</v>
          </cell>
          <cell r="HF289">
            <v>100</v>
          </cell>
          <cell r="HH289">
            <v>100</v>
          </cell>
          <cell r="HI289">
            <v>100</v>
          </cell>
          <cell r="HK289">
            <v>100</v>
          </cell>
          <cell r="HL289">
            <v>100</v>
          </cell>
          <cell r="HN289">
            <v>100</v>
          </cell>
          <cell r="HO289">
            <v>100</v>
          </cell>
          <cell r="HQ289">
            <v>100</v>
          </cell>
          <cell r="HR289">
            <v>100</v>
          </cell>
          <cell r="HT289">
            <v>100</v>
          </cell>
          <cell r="HU289">
            <v>100</v>
          </cell>
          <cell r="HW289">
            <v>100</v>
          </cell>
          <cell r="HX289">
            <v>100</v>
          </cell>
          <cell r="HZ289">
            <v>100</v>
          </cell>
          <cell r="IA289">
            <v>100</v>
          </cell>
          <cell r="IC289">
            <v>100</v>
          </cell>
          <cell r="ID289">
            <v>100</v>
          </cell>
          <cell r="IF289">
            <v>100</v>
          </cell>
        </row>
        <row r="290">
          <cell r="GP290" t="str">
            <v xml:space="preserve">Plant Dependant MCCs - </v>
          </cell>
          <cell r="GQ290">
            <v>100</v>
          </cell>
          <cell r="GS290">
            <v>100</v>
          </cell>
          <cell r="GT290">
            <v>100</v>
          </cell>
          <cell r="GV290">
            <v>100</v>
          </cell>
          <cell r="GW290">
            <v>100</v>
          </cell>
          <cell r="GY290">
            <v>100</v>
          </cell>
          <cell r="GZ290">
            <v>100</v>
          </cell>
          <cell r="HB290">
            <v>100</v>
          </cell>
          <cell r="HC290">
            <v>100</v>
          </cell>
          <cell r="HE290">
            <v>100</v>
          </cell>
          <cell r="HF290">
            <v>100</v>
          </cell>
          <cell r="HH290">
            <v>100</v>
          </cell>
          <cell r="HI290">
            <v>100</v>
          </cell>
          <cell r="HK290">
            <v>100</v>
          </cell>
          <cell r="HL290">
            <v>100</v>
          </cell>
          <cell r="HN290">
            <v>100</v>
          </cell>
          <cell r="HO290">
            <v>100</v>
          </cell>
          <cell r="HQ290">
            <v>100</v>
          </cell>
          <cell r="HR290">
            <v>100</v>
          </cell>
          <cell r="HT290">
            <v>100</v>
          </cell>
          <cell r="HU290">
            <v>100</v>
          </cell>
          <cell r="HW290">
            <v>100</v>
          </cell>
          <cell r="HX290">
            <v>100</v>
          </cell>
          <cell r="HZ290">
            <v>100</v>
          </cell>
          <cell r="IA290">
            <v>100</v>
          </cell>
          <cell r="IC290">
            <v>100</v>
          </cell>
          <cell r="ID290">
            <v>100</v>
          </cell>
          <cell r="IF290">
            <v>100</v>
          </cell>
        </row>
        <row r="291">
          <cell r="GP291" t="str">
            <v xml:space="preserve">Plant Dependant MCCs - </v>
          </cell>
          <cell r="GQ291">
            <v>100</v>
          </cell>
          <cell r="GS291">
            <v>100</v>
          </cell>
          <cell r="GT291">
            <v>100</v>
          </cell>
          <cell r="GV291">
            <v>100</v>
          </cell>
          <cell r="GW291">
            <v>100</v>
          </cell>
          <cell r="GY291">
            <v>100</v>
          </cell>
          <cell r="GZ291">
            <v>100</v>
          </cell>
          <cell r="HB291">
            <v>100</v>
          </cell>
          <cell r="HC291">
            <v>100</v>
          </cell>
          <cell r="HE291">
            <v>100</v>
          </cell>
          <cell r="HF291">
            <v>100</v>
          </cell>
          <cell r="HH291">
            <v>100</v>
          </cell>
          <cell r="HI291">
            <v>100</v>
          </cell>
          <cell r="HK291">
            <v>100</v>
          </cell>
          <cell r="HL291">
            <v>100</v>
          </cell>
          <cell r="HN291">
            <v>100</v>
          </cell>
          <cell r="HO291">
            <v>100</v>
          </cell>
          <cell r="HQ291">
            <v>100</v>
          </cell>
          <cell r="HR291">
            <v>100</v>
          </cell>
          <cell r="HT291">
            <v>100</v>
          </cell>
          <cell r="HU291">
            <v>100</v>
          </cell>
          <cell r="HW291">
            <v>100</v>
          </cell>
          <cell r="HX291">
            <v>100</v>
          </cell>
          <cell r="HZ291">
            <v>100</v>
          </cell>
          <cell r="IA291">
            <v>100</v>
          </cell>
          <cell r="IC291">
            <v>100</v>
          </cell>
          <cell r="ID291">
            <v>100</v>
          </cell>
          <cell r="IF291">
            <v>100</v>
          </cell>
        </row>
        <row r="292">
          <cell r="GP292" t="str">
            <v>Station Service Transformers Type 1</v>
          </cell>
          <cell r="GQ292">
            <v>500</v>
          </cell>
          <cell r="GS292">
            <v>500</v>
          </cell>
          <cell r="GT292">
            <v>500</v>
          </cell>
          <cell r="GV292">
            <v>500</v>
          </cell>
          <cell r="GW292">
            <v>500</v>
          </cell>
          <cell r="GY292">
            <v>500</v>
          </cell>
          <cell r="GZ292">
            <v>500</v>
          </cell>
          <cell r="HB292">
            <v>500</v>
          </cell>
          <cell r="HC292">
            <v>500</v>
          </cell>
          <cell r="HE292">
            <v>500</v>
          </cell>
          <cell r="HF292">
            <v>500</v>
          </cell>
          <cell r="HH292">
            <v>500</v>
          </cell>
          <cell r="HI292">
            <v>500</v>
          </cell>
          <cell r="HK292">
            <v>500</v>
          </cell>
          <cell r="HL292">
            <v>500</v>
          </cell>
          <cell r="HN292">
            <v>500</v>
          </cell>
          <cell r="HO292">
            <v>500</v>
          </cell>
          <cell r="HQ292">
            <v>500</v>
          </cell>
          <cell r="HR292">
            <v>500</v>
          </cell>
          <cell r="HT292">
            <v>500</v>
          </cell>
          <cell r="HU292">
            <v>500</v>
          </cell>
          <cell r="HW292">
            <v>500</v>
          </cell>
          <cell r="HX292">
            <v>500</v>
          </cell>
          <cell r="HZ292">
            <v>500</v>
          </cell>
          <cell r="IA292">
            <v>500</v>
          </cell>
          <cell r="IC292">
            <v>500</v>
          </cell>
          <cell r="ID292">
            <v>500</v>
          </cell>
          <cell r="IF292">
            <v>500</v>
          </cell>
        </row>
        <row r="293">
          <cell r="GP293" t="str">
            <v>Station Service Transformers Type 2</v>
          </cell>
          <cell r="GQ293">
            <v>500</v>
          </cell>
          <cell r="GS293">
            <v>500</v>
          </cell>
          <cell r="GT293">
            <v>500</v>
          </cell>
          <cell r="GV293">
            <v>500</v>
          </cell>
          <cell r="GW293">
            <v>500</v>
          </cell>
          <cell r="GY293">
            <v>500</v>
          </cell>
          <cell r="GZ293">
            <v>500</v>
          </cell>
          <cell r="HB293">
            <v>500</v>
          </cell>
          <cell r="HC293">
            <v>500</v>
          </cell>
          <cell r="HE293">
            <v>500</v>
          </cell>
          <cell r="HF293">
            <v>500</v>
          </cell>
          <cell r="HH293">
            <v>500</v>
          </cell>
          <cell r="HI293">
            <v>500</v>
          </cell>
          <cell r="HK293">
            <v>500</v>
          </cell>
          <cell r="HL293">
            <v>500</v>
          </cell>
          <cell r="HN293">
            <v>500</v>
          </cell>
          <cell r="HO293">
            <v>500</v>
          </cell>
          <cell r="HQ293">
            <v>500</v>
          </cell>
          <cell r="HR293">
            <v>500</v>
          </cell>
          <cell r="HT293">
            <v>500</v>
          </cell>
          <cell r="HU293">
            <v>500</v>
          </cell>
          <cell r="HW293">
            <v>500</v>
          </cell>
          <cell r="HX293">
            <v>500</v>
          </cell>
          <cell r="HZ293">
            <v>500</v>
          </cell>
          <cell r="IA293">
            <v>500</v>
          </cell>
          <cell r="IC293">
            <v>500</v>
          </cell>
          <cell r="ID293">
            <v>500</v>
          </cell>
          <cell r="IF293">
            <v>500</v>
          </cell>
        </row>
        <row r="294">
          <cell r="GP294" t="str">
            <v>Station Service Transformers Type 3</v>
          </cell>
          <cell r="GQ294">
            <v>500</v>
          </cell>
          <cell r="GS294">
            <v>500</v>
          </cell>
          <cell r="GT294">
            <v>500</v>
          </cell>
          <cell r="GV294">
            <v>500</v>
          </cell>
          <cell r="GW294">
            <v>500</v>
          </cell>
          <cell r="GY294">
            <v>500</v>
          </cell>
          <cell r="GZ294">
            <v>500</v>
          </cell>
          <cell r="HB294">
            <v>500</v>
          </cell>
          <cell r="HC294">
            <v>500</v>
          </cell>
          <cell r="HE294">
            <v>500</v>
          </cell>
          <cell r="HF294">
            <v>500</v>
          </cell>
          <cell r="HH294">
            <v>500</v>
          </cell>
          <cell r="HI294">
            <v>500</v>
          </cell>
          <cell r="HK294">
            <v>500</v>
          </cell>
          <cell r="HL294">
            <v>500</v>
          </cell>
          <cell r="HN294">
            <v>500</v>
          </cell>
          <cell r="HO294">
            <v>500</v>
          </cell>
          <cell r="HQ294">
            <v>500</v>
          </cell>
          <cell r="HR294">
            <v>500</v>
          </cell>
          <cell r="HT294">
            <v>500</v>
          </cell>
          <cell r="HU294">
            <v>500</v>
          </cell>
          <cell r="HW294">
            <v>500</v>
          </cell>
          <cell r="HX294">
            <v>500</v>
          </cell>
          <cell r="HZ294">
            <v>500</v>
          </cell>
          <cell r="IA294">
            <v>500</v>
          </cell>
          <cell r="IC294">
            <v>500</v>
          </cell>
          <cell r="ID294">
            <v>500</v>
          </cell>
          <cell r="IF294">
            <v>500</v>
          </cell>
        </row>
        <row r="295">
          <cell r="GP295" t="str">
            <v>Station Service Transformers Type 4</v>
          </cell>
          <cell r="GQ295">
            <v>500</v>
          </cell>
          <cell r="GS295">
            <v>500</v>
          </cell>
          <cell r="GT295">
            <v>500</v>
          </cell>
          <cell r="GV295">
            <v>500</v>
          </cell>
          <cell r="GW295">
            <v>500</v>
          </cell>
          <cell r="GY295">
            <v>500</v>
          </cell>
          <cell r="GZ295">
            <v>500</v>
          </cell>
          <cell r="HB295">
            <v>500</v>
          </cell>
          <cell r="HC295">
            <v>500</v>
          </cell>
          <cell r="HE295">
            <v>500</v>
          </cell>
          <cell r="HF295">
            <v>500</v>
          </cell>
          <cell r="HH295">
            <v>500</v>
          </cell>
          <cell r="HI295">
            <v>500</v>
          </cell>
          <cell r="HK295">
            <v>500</v>
          </cell>
          <cell r="HL295">
            <v>500</v>
          </cell>
          <cell r="HN295">
            <v>500</v>
          </cell>
          <cell r="HO295">
            <v>500</v>
          </cell>
          <cell r="HQ295">
            <v>500</v>
          </cell>
          <cell r="HR295">
            <v>500</v>
          </cell>
          <cell r="HT295">
            <v>500</v>
          </cell>
          <cell r="HU295">
            <v>500</v>
          </cell>
          <cell r="HW295">
            <v>500</v>
          </cell>
          <cell r="HX295">
            <v>500</v>
          </cell>
          <cell r="HZ295">
            <v>500</v>
          </cell>
          <cell r="IA295">
            <v>500</v>
          </cell>
          <cell r="IC295">
            <v>500</v>
          </cell>
          <cell r="ID295">
            <v>500</v>
          </cell>
          <cell r="IF295">
            <v>500</v>
          </cell>
        </row>
        <row r="296">
          <cell r="GP296" t="str">
            <v>Emergency 500 kW Diesel Generator</v>
          </cell>
          <cell r="GQ296">
            <v>2500</v>
          </cell>
          <cell r="GR296">
            <v>2500</v>
          </cell>
          <cell r="GS296">
            <v>2500</v>
          </cell>
          <cell r="GT296">
            <v>2500</v>
          </cell>
          <cell r="GU296">
            <v>2500</v>
          </cell>
          <cell r="GV296">
            <v>2500</v>
          </cell>
          <cell r="GW296">
            <v>2500</v>
          </cell>
          <cell r="GX296">
            <v>2500</v>
          </cell>
          <cell r="GY296">
            <v>2500</v>
          </cell>
          <cell r="GZ296">
            <v>2500</v>
          </cell>
          <cell r="HA296">
            <v>2500</v>
          </cell>
          <cell r="HB296">
            <v>2500</v>
          </cell>
          <cell r="HC296">
            <v>2500</v>
          </cell>
          <cell r="HD296">
            <v>2500</v>
          </cell>
          <cell r="HE296">
            <v>2500</v>
          </cell>
          <cell r="HF296">
            <v>2500</v>
          </cell>
          <cell r="HG296">
            <v>2500</v>
          </cell>
          <cell r="HH296">
            <v>2500</v>
          </cell>
          <cell r="HI296">
            <v>2500</v>
          </cell>
          <cell r="HJ296">
            <v>2500</v>
          </cell>
          <cell r="HK296">
            <v>2500</v>
          </cell>
          <cell r="HL296">
            <v>2500</v>
          </cell>
          <cell r="HM296">
            <v>2500</v>
          </cell>
          <cell r="HN296">
            <v>2500</v>
          </cell>
          <cell r="HO296">
            <v>2500</v>
          </cell>
          <cell r="HP296">
            <v>2500</v>
          </cell>
          <cell r="HQ296">
            <v>2500</v>
          </cell>
          <cell r="HR296">
            <v>2500</v>
          </cell>
          <cell r="HS296">
            <v>2500</v>
          </cell>
          <cell r="HT296">
            <v>2500</v>
          </cell>
          <cell r="HU296">
            <v>2500</v>
          </cell>
          <cell r="HV296">
            <v>2500</v>
          </cell>
          <cell r="HW296">
            <v>2500</v>
          </cell>
          <cell r="HX296">
            <v>2500</v>
          </cell>
          <cell r="HY296">
            <v>2500</v>
          </cell>
          <cell r="HZ296">
            <v>2500</v>
          </cell>
          <cell r="IA296">
            <v>2500</v>
          </cell>
          <cell r="IB296">
            <v>2500</v>
          </cell>
          <cell r="IC296">
            <v>2500</v>
          </cell>
          <cell r="ID296">
            <v>2500</v>
          </cell>
          <cell r="IE296">
            <v>2500</v>
          </cell>
          <cell r="IF296">
            <v>2500</v>
          </cell>
        </row>
        <row r="297">
          <cell r="GP297" t="str">
            <v>Emergency 750 kW Diesel Generator</v>
          </cell>
          <cell r="GQ297">
            <v>2500</v>
          </cell>
          <cell r="GR297">
            <v>3750</v>
          </cell>
          <cell r="GS297">
            <v>3750</v>
          </cell>
          <cell r="GT297">
            <v>2500</v>
          </cell>
          <cell r="GU297">
            <v>3750</v>
          </cell>
          <cell r="GV297">
            <v>3750</v>
          </cell>
          <cell r="GW297">
            <v>2500</v>
          </cell>
          <cell r="GX297">
            <v>3750</v>
          </cell>
          <cell r="GY297">
            <v>3750</v>
          </cell>
          <cell r="GZ297">
            <v>2500</v>
          </cell>
          <cell r="HA297">
            <v>3750</v>
          </cell>
          <cell r="HB297">
            <v>3750</v>
          </cell>
          <cell r="HC297">
            <v>2500</v>
          </cell>
          <cell r="HD297">
            <v>3750</v>
          </cell>
          <cell r="HE297">
            <v>3750</v>
          </cell>
          <cell r="HF297">
            <v>2500</v>
          </cell>
          <cell r="HG297">
            <v>3750</v>
          </cell>
          <cell r="HH297">
            <v>3750</v>
          </cell>
          <cell r="HI297">
            <v>2500</v>
          </cell>
          <cell r="HJ297">
            <v>3750</v>
          </cell>
          <cell r="HK297">
            <v>3750</v>
          </cell>
          <cell r="HL297">
            <v>2500</v>
          </cell>
          <cell r="HM297">
            <v>3750</v>
          </cell>
          <cell r="HN297">
            <v>3750</v>
          </cell>
          <cell r="HO297">
            <v>2500</v>
          </cell>
          <cell r="HP297">
            <v>3750</v>
          </cell>
          <cell r="HQ297">
            <v>3750</v>
          </cell>
          <cell r="HR297">
            <v>2500</v>
          </cell>
          <cell r="HS297">
            <v>3750</v>
          </cell>
          <cell r="HT297">
            <v>3750</v>
          </cell>
          <cell r="HU297">
            <v>2500</v>
          </cell>
          <cell r="HV297">
            <v>3750</v>
          </cell>
          <cell r="HW297">
            <v>3750</v>
          </cell>
          <cell r="HX297">
            <v>2500</v>
          </cell>
          <cell r="HY297">
            <v>3750</v>
          </cell>
          <cell r="HZ297">
            <v>3750</v>
          </cell>
          <cell r="IA297">
            <v>2500</v>
          </cell>
          <cell r="IB297">
            <v>3750</v>
          </cell>
          <cell r="IC297">
            <v>3750</v>
          </cell>
          <cell r="ID297">
            <v>2500</v>
          </cell>
          <cell r="IE297">
            <v>3750</v>
          </cell>
          <cell r="IF297">
            <v>3750</v>
          </cell>
        </row>
        <row r="298">
          <cell r="GP298" t="str">
            <v>Emergency 1000 kW Diesel Generator</v>
          </cell>
          <cell r="GQ298">
            <v>2500</v>
          </cell>
          <cell r="GR298">
            <v>5000</v>
          </cell>
          <cell r="GS298">
            <v>5000</v>
          </cell>
          <cell r="GT298">
            <v>2500</v>
          </cell>
          <cell r="GU298">
            <v>5000</v>
          </cell>
          <cell r="GV298">
            <v>5000</v>
          </cell>
          <cell r="GW298">
            <v>2500</v>
          </cell>
          <cell r="GX298">
            <v>5000</v>
          </cell>
          <cell r="GY298">
            <v>5000</v>
          </cell>
          <cell r="GZ298">
            <v>2500</v>
          </cell>
          <cell r="HA298">
            <v>5000</v>
          </cell>
          <cell r="HB298">
            <v>5000</v>
          </cell>
          <cell r="HC298">
            <v>2500</v>
          </cell>
          <cell r="HD298">
            <v>5000</v>
          </cell>
          <cell r="HE298">
            <v>5000</v>
          </cell>
          <cell r="HF298">
            <v>2500</v>
          </cell>
          <cell r="HG298">
            <v>5000</v>
          </cell>
          <cell r="HH298">
            <v>5000</v>
          </cell>
          <cell r="HI298">
            <v>2500</v>
          </cell>
          <cell r="HJ298">
            <v>5000</v>
          </cell>
          <cell r="HK298">
            <v>5000</v>
          </cell>
          <cell r="HL298">
            <v>2500</v>
          </cell>
          <cell r="HM298">
            <v>5000</v>
          </cell>
          <cell r="HN298">
            <v>5000</v>
          </cell>
          <cell r="HO298">
            <v>2500</v>
          </cell>
          <cell r="HP298">
            <v>5000</v>
          </cell>
          <cell r="HQ298">
            <v>5000</v>
          </cell>
          <cell r="HR298">
            <v>2500</v>
          </cell>
          <cell r="HS298">
            <v>5000</v>
          </cell>
          <cell r="HT298">
            <v>5000</v>
          </cell>
          <cell r="HU298">
            <v>2500</v>
          </cell>
          <cell r="HV298">
            <v>5000</v>
          </cell>
          <cell r="HW298">
            <v>5000</v>
          </cell>
          <cell r="HX298">
            <v>2500</v>
          </cell>
          <cell r="HY298">
            <v>5000</v>
          </cell>
          <cell r="HZ298">
            <v>5000</v>
          </cell>
          <cell r="IA298">
            <v>2500</v>
          </cell>
          <cell r="IB298">
            <v>5000</v>
          </cell>
          <cell r="IC298">
            <v>5000</v>
          </cell>
          <cell r="ID298">
            <v>2500</v>
          </cell>
          <cell r="IE298">
            <v>5000</v>
          </cell>
          <cell r="IF298">
            <v>5000</v>
          </cell>
        </row>
        <row r="299">
          <cell r="GP299" t="str">
            <v>Emergency 1250 kW Diesel Generator</v>
          </cell>
          <cell r="GQ299">
            <v>2500</v>
          </cell>
          <cell r="GR299">
            <v>6250</v>
          </cell>
          <cell r="GS299">
            <v>6250</v>
          </cell>
          <cell r="GT299">
            <v>2500</v>
          </cell>
          <cell r="GU299">
            <v>6250</v>
          </cell>
          <cell r="GV299">
            <v>6250</v>
          </cell>
          <cell r="GW299">
            <v>2500</v>
          </cell>
          <cell r="GX299">
            <v>6250</v>
          </cell>
          <cell r="GY299">
            <v>6250</v>
          </cell>
          <cell r="GZ299">
            <v>2500</v>
          </cell>
          <cell r="HA299">
            <v>6250</v>
          </cell>
          <cell r="HB299">
            <v>6250</v>
          </cell>
          <cell r="HC299">
            <v>2500</v>
          </cell>
          <cell r="HD299">
            <v>6250</v>
          </cell>
          <cell r="HE299">
            <v>6250</v>
          </cell>
          <cell r="HF299">
            <v>2500</v>
          </cell>
          <cell r="HG299">
            <v>6250</v>
          </cell>
          <cell r="HH299">
            <v>6250</v>
          </cell>
          <cell r="HI299">
            <v>2500</v>
          </cell>
          <cell r="HJ299">
            <v>6250</v>
          </cell>
          <cell r="HK299">
            <v>6250</v>
          </cell>
          <cell r="HL299">
            <v>2500</v>
          </cell>
          <cell r="HM299">
            <v>6250</v>
          </cell>
          <cell r="HN299">
            <v>6250</v>
          </cell>
          <cell r="HO299">
            <v>2500</v>
          </cell>
          <cell r="HP299">
            <v>6250</v>
          </cell>
          <cell r="HQ299">
            <v>6250</v>
          </cell>
          <cell r="HR299">
            <v>2500</v>
          </cell>
          <cell r="HS299">
            <v>6250</v>
          </cell>
          <cell r="HT299">
            <v>6250</v>
          </cell>
          <cell r="HU299">
            <v>2500</v>
          </cell>
          <cell r="HV299">
            <v>6250</v>
          </cell>
          <cell r="HW299">
            <v>6250</v>
          </cell>
          <cell r="HX299">
            <v>2500</v>
          </cell>
          <cell r="HY299">
            <v>6250</v>
          </cell>
          <cell r="HZ299">
            <v>6250</v>
          </cell>
          <cell r="IA299">
            <v>2500</v>
          </cell>
          <cell r="IB299">
            <v>6250</v>
          </cell>
          <cell r="IC299">
            <v>6250</v>
          </cell>
          <cell r="ID299">
            <v>2500</v>
          </cell>
          <cell r="IE299">
            <v>6250</v>
          </cell>
          <cell r="IF299">
            <v>6250</v>
          </cell>
        </row>
        <row r="300">
          <cell r="GP300" t="str">
            <v>Emergency 1500 kW Diesel Generator</v>
          </cell>
          <cell r="GQ300">
            <v>2500</v>
          </cell>
          <cell r="GR300">
            <v>7500</v>
          </cell>
          <cell r="GS300">
            <v>7500</v>
          </cell>
          <cell r="GT300">
            <v>2500</v>
          </cell>
          <cell r="GU300">
            <v>7500</v>
          </cell>
          <cell r="GV300">
            <v>7500</v>
          </cell>
          <cell r="GW300">
            <v>2500</v>
          </cell>
          <cell r="GX300">
            <v>7500</v>
          </cell>
          <cell r="GY300">
            <v>7500</v>
          </cell>
          <cell r="GZ300">
            <v>2500</v>
          </cell>
          <cell r="HA300">
            <v>7500</v>
          </cell>
          <cell r="HB300">
            <v>7500</v>
          </cell>
          <cell r="HC300">
            <v>2500</v>
          </cell>
          <cell r="HD300">
            <v>7500</v>
          </cell>
          <cell r="HE300">
            <v>7500</v>
          </cell>
          <cell r="HF300">
            <v>2500</v>
          </cell>
          <cell r="HG300">
            <v>7500</v>
          </cell>
          <cell r="HH300">
            <v>7500</v>
          </cell>
          <cell r="HI300">
            <v>2500</v>
          </cell>
          <cell r="HJ300">
            <v>7500</v>
          </cell>
          <cell r="HK300">
            <v>7500</v>
          </cell>
          <cell r="HL300">
            <v>2500</v>
          </cell>
          <cell r="HM300">
            <v>7500</v>
          </cell>
          <cell r="HN300">
            <v>7500</v>
          </cell>
          <cell r="HO300">
            <v>2500</v>
          </cell>
          <cell r="HP300">
            <v>7500</v>
          </cell>
          <cell r="HQ300">
            <v>7500</v>
          </cell>
          <cell r="HR300">
            <v>2500</v>
          </cell>
          <cell r="HS300">
            <v>7500</v>
          </cell>
          <cell r="HT300">
            <v>7500</v>
          </cell>
          <cell r="HU300">
            <v>2500</v>
          </cell>
          <cell r="HV300">
            <v>7500</v>
          </cell>
          <cell r="HW300">
            <v>7500</v>
          </cell>
          <cell r="HX300">
            <v>2500</v>
          </cell>
          <cell r="HY300">
            <v>7500</v>
          </cell>
          <cell r="HZ300">
            <v>7500</v>
          </cell>
          <cell r="IA300">
            <v>2500</v>
          </cell>
          <cell r="IB300">
            <v>7500</v>
          </cell>
          <cell r="IC300">
            <v>7500</v>
          </cell>
          <cell r="ID300">
            <v>2500</v>
          </cell>
          <cell r="IE300">
            <v>7500</v>
          </cell>
          <cell r="IF300">
            <v>7500</v>
          </cell>
        </row>
        <row r="301">
          <cell r="GP301" t="str">
            <v>Emergency 2000 kW Diesel Generator</v>
          </cell>
          <cell r="GQ301">
            <v>2500</v>
          </cell>
          <cell r="GR301">
            <v>10000</v>
          </cell>
          <cell r="GS301">
            <v>10000</v>
          </cell>
          <cell r="GT301">
            <v>2500</v>
          </cell>
          <cell r="GU301">
            <v>10000</v>
          </cell>
          <cell r="GV301">
            <v>10000</v>
          </cell>
          <cell r="GW301">
            <v>2500</v>
          </cell>
          <cell r="GX301">
            <v>10000</v>
          </cell>
          <cell r="GY301">
            <v>10000</v>
          </cell>
          <cell r="GZ301">
            <v>2500</v>
          </cell>
          <cell r="HA301">
            <v>10000</v>
          </cell>
          <cell r="HB301">
            <v>10000</v>
          </cell>
          <cell r="HC301">
            <v>2500</v>
          </cell>
          <cell r="HD301">
            <v>10000</v>
          </cell>
          <cell r="HE301">
            <v>10000</v>
          </cell>
          <cell r="HF301">
            <v>2500</v>
          </cell>
          <cell r="HG301">
            <v>10000</v>
          </cell>
          <cell r="HH301">
            <v>10000</v>
          </cell>
          <cell r="HI301">
            <v>2500</v>
          </cell>
          <cell r="HJ301">
            <v>10000</v>
          </cell>
          <cell r="HK301">
            <v>10000</v>
          </cell>
          <cell r="HL301">
            <v>2500</v>
          </cell>
          <cell r="HM301">
            <v>10000</v>
          </cell>
          <cell r="HN301">
            <v>10000</v>
          </cell>
          <cell r="HO301">
            <v>2500</v>
          </cell>
          <cell r="HP301">
            <v>10000</v>
          </cell>
          <cell r="HQ301">
            <v>10000</v>
          </cell>
          <cell r="HR301">
            <v>2500</v>
          </cell>
          <cell r="HS301">
            <v>10000</v>
          </cell>
          <cell r="HT301">
            <v>10000</v>
          </cell>
          <cell r="HU301">
            <v>2500</v>
          </cell>
          <cell r="HV301">
            <v>10000</v>
          </cell>
          <cell r="HW301">
            <v>10000</v>
          </cell>
          <cell r="HX301">
            <v>2500</v>
          </cell>
          <cell r="HY301">
            <v>10000</v>
          </cell>
          <cell r="HZ301">
            <v>10000</v>
          </cell>
          <cell r="IA301">
            <v>2500</v>
          </cell>
          <cell r="IB301">
            <v>10000</v>
          </cell>
          <cell r="IC301">
            <v>10000</v>
          </cell>
          <cell r="ID301">
            <v>2500</v>
          </cell>
          <cell r="IE301">
            <v>10000</v>
          </cell>
          <cell r="IF301">
            <v>10000</v>
          </cell>
        </row>
        <row r="302">
          <cell r="GP302" t="str">
            <v>Black Start Diesel Generator</v>
          </cell>
          <cell r="GQ302">
            <v>0</v>
          </cell>
          <cell r="GS302">
            <v>0</v>
          </cell>
          <cell r="GT302">
            <v>0</v>
          </cell>
          <cell r="GV302">
            <v>0</v>
          </cell>
          <cell r="GW302">
            <v>0</v>
          </cell>
          <cell r="GY302">
            <v>0</v>
          </cell>
          <cell r="GZ302">
            <v>0</v>
          </cell>
          <cell r="HB302">
            <v>0</v>
          </cell>
          <cell r="HC302">
            <v>0</v>
          </cell>
          <cell r="HE302">
            <v>0</v>
          </cell>
          <cell r="HF302">
            <v>0</v>
          </cell>
          <cell r="HH302">
            <v>0</v>
          </cell>
          <cell r="HI302">
            <v>0</v>
          </cell>
          <cell r="HK302">
            <v>0</v>
          </cell>
          <cell r="HL302">
            <v>0</v>
          </cell>
          <cell r="HN302">
            <v>0</v>
          </cell>
          <cell r="HO302">
            <v>0</v>
          </cell>
          <cell r="HQ302">
            <v>0</v>
          </cell>
          <cell r="HR302">
            <v>0</v>
          </cell>
          <cell r="HT302">
            <v>0</v>
          </cell>
          <cell r="HU302">
            <v>0</v>
          </cell>
          <cell r="HW302">
            <v>0</v>
          </cell>
          <cell r="HX302">
            <v>0</v>
          </cell>
          <cell r="HZ302">
            <v>0</v>
          </cell>
          <cell r="IA302">
            <v>0</v>
          </cell>
          <cell r="IC302">
            <v>0</v>
          </cell>
          <cell r="ID302">
            <v>0</v>
          </cell>
          <cell r="IF302">
            <v>0</v>
          </cell>
        </row>
        <row r="303">
          <cell r="GP303">
            <v>0</v>
          </cell>
          <cell r="GS303">
            <v>0</v>
          </cell>
          <cell r="GV303">
            <v>0</v>
          </cell>
          <cell r="GY303">
            <v>0</v>
          </cell>
          <cell r="HB303">
            <v>0</v>
          </cell>
          <cell r="HE303">
            <v>0</v>
          </cell>
          <cell r="HH303">
            <v>0</v>
          </cell>
          <cell r="HK303">
            <v>0</v>
          </cell>
          <cell r="HN303">
            <v>0</v>
          </cell>
          <cell r="HQ303">
            <v>0</v>
          </cell>
          <cell r="HT303">
            <v>0</v>
          </cell>
          <cell r="HW303">
            <v>0</v>
          </cell>
          <cell r="HZ303">
            <v>0</v>
          </cell>
          <cell r="IC303">
            <v>0</v>
          </cell>
          <cell r="IF303">
            <v>0</v>
          </cell>
        </row>
        <row r="304">
          <cell r="GP304" t="str">
            <v>MV MCC</v>
          </cell>
          <cell r="GQ304">
            <v>100</v>
          </cell>
          <cell r="GS304">
            <v>100</v>
          </cell>
          <cell r="GT304">
            <v>100</v>
          </cell>
          <cell r="GV304">
            <v>100</v>
          </cell>
          <cell r="GW304">
            <v>100</v>
          </cell>
          <cell r="GY304">
            <v>100</v>
          </cell>
          <cell r="GZ304">
            <v>100</v>
          </cell>
          <cell r="HB304">
            <v>100</v>
          </cell>
          <cell r="HC304">
            <v>100</v>
          </cell>
          <cell r="HE304">
            <v>100</v>
          </cell>
          <cell r="HF304">
            <v>100</v>
          </cell>
          <cell r="HH304">
            <v>100</v>
          </cell>
          <cell r="HI304">
            <v>100</v>
          </cell>
          <cell r="HK304">
            <v>100</v>
          </cell>
          <cell r="HL304">
            <v>100</v>
          </cell>
          <cell r="HN304">
            <v>100</v>
          </cell>
          <cell r="HO304">
            <v>100</v>
          </cell>
          <cell r="HQ304">
            <v>100</v>
          </cell>
          <cell r="HR304">
            <v>100</v>
          </cell>
          <cell r="HT304">
            <v>100</v>
          </cell>
          <cell r="HU304">
            <v>100</v>
          </cell>
          <cell r="HW304">
            <v>100</v>
          </cell>
          <cell r="HX304">
            <v>100</v>
          </cell>
          <cell r="HZ304">
            <v>100</v>
          </cell>
          <cell r="IA304">
            <v>100</v>
          </cell>
          <cell r="IC304">
            <v>100</v>
          </cell>
          <cell r="ID304">
            <v>100</v>
          </cell>
          <cell r="IF304">
            <v>100</v>
          </cell>
        </row>
        <row r="305">
          <cell r="GP305" t="str">
            <v>4.16 kV Non segregated Bus Type 1</v>
          </cell>
          <cell r="GQ305">
            <v>200</v>
          </cell>
          <cell r="GS305">
            <v>200</v>
          </cell>
          <cell r="GT305">
            <v>200</v>
          </cell>
          <cell r="GV305">
            <v>200</v>
          </cell>
          <cell r="GW305">
            <v>200</v>
          </cell>
          <cell r="GY305">
            <v>200</v>
          </cell>
          <cell r="GZ305">
            <v>200</v>
          </cell>
          <cell r="HB305">
            <v>200</v>
          </cell>
          <cell r="HC305">
            <v>200</v>
          </cell>
          <cell r="HE305">
            <v>200</v>
          </cell>
          <cell r="HF305">
            <v>200</v>
          </cell>
          <cell r="HH305">
            <v>200</v>
          </cell>
          <cell r="HI305">
            <v>200</v>
          </cell>
          <cell r="HK305">
            <v>200</v>
          </cell>
          <cell r="HL305">
            <v>200</v>
          </cell>
          <cell r="HN305">
            <v>200</v>
          </cell>
          <cell r="HO305">
            <v>200</v>
          </cell>
          <cell r="HQ305">
            <v>200</v>
          </cell>
          <cell r="HR305">
            <v>200</v>
          </cell>
          <cell r="HT305">
            <v>200</v>
          </cell>
          <cell r="HU305">
            <v>200</v>
          </cell>
          <cell r="HW305">
            <v>200</v>
          </cell>
          <cell r="HX305">
            <v>200</v>
          </cell>
          <cell r="HZ305">
            <v>200</v>
          </cell>
          <cell r="IA305">
            <v>200</v>
          </cell>
          <cell r="IC305">
            <v>200</v>
          </cell>
          <cell r="ID305">
            <v>200</v>
          </cell>
          <cell r="IF305">
            <v>200</v>
          </cell>
        </row>
        <row r="306">
          <cell r="GP306" t="str">
            <v>4.16 kV Non segregated Bus Type 2</v>
          </cell>
          <cell r="GQ306">
            <v>200</v>
          </cell>
          <cell r="GS306">
            <v>200</v>
          </cell>
          <cell r="GT306">
            <v>200</v>
          </cell>
          <cell r="GV306">
            <v>200</v>
          </cell>
          <cell r="GW306">
            <v>200</v>
          </cell>
          <cell r="GY306">
            <v>200</v>
          </cell>
          <cell r="GZ306">
            <v>200</v>
          </cell>
          <cell r="HB306">
            <v>200</v>
          </cell>
          <cell r="HC306">
            <v>200</v>
          </cell>
          <cell r="HE306">
            <v>200</v>
          </cell>
          <cell r="HF306">
            <v>200</v>
          </cell>
          <cell r="HH306">
            <v>200</v>
          </cell>
          <cell r="HI306">
            <v>200</v>
          </cell>
          <cell r="HK306">
            <v>200</v>
          </cell>
          <cell r="HL306">
            <v>200</v>
          </cell>
          <cell r="HN306">
            <v>200</v>
          </cell>
          <cell r="HO306">
            <v>200</v>
          </cell>
          <cell r="HQ306">
            <v>200</v>
          </cell>
          <cell r="HR306">
            <v>200</v>
          </cell>
          <cell r="HT306">
            <v>200</v>
          </cell>
          <cell r="HU306">
            <v>200</v>
          </cell>
          <cell r="HW306">
            <v>200</v>
          </cell>
          <cell r="HX306">
            <v>200</v>
          </cell>
          <cell r="HZ306">
            <v>200</v>
          </cell>
          <cell r="IA306">
            <v>200</v>
          </cell>
          <cell r="IC306">
            <v>200</v>
          </cell>
          <cell r="ID306">
            <v>200</v>
          </cell>
          <cell r="IF306">
            <v>200</v>
          </cell>
        </row>
        <row r="307">
          <cell r="GP307" t="str">
            <v>4.16 kV Non segregated Bus Type 3</v>
          </cell>
          <cell r="GQ307">
            <v>200</v>
          </cell>
          <cell r="GS307">
            <v>200</v>
          </cell>
          <cell r="GT307">
            <v>200</v>
          </cell>
          <cell r="GV307">
            <v>200</v>
          </cell>
          <cell r="GW307">
            <v>200</v>
          </cell>
          <cell r="GY307">
            <v>200</v>
          </cell>
          <cell r="GZ307">
            <v>200</v>
          </cell>
          <cell r="HB307">
            <v>200</v>
          </cell>
          <cell r="HC307">
            <v>200</v>
          </cell>
          <cell r="HE307">
            <v>200</v>
          </cell>
          <cell r="HF307">
            <v>200</v>
          </cell>
          <cell r="HH307">
            <v>200</v>
          </cell>
          <cell r="HI307">
            <v>200</v>
          </cell>
          <cell r="HK307">
            <v>200</v>
          </cell>
          <cell r="HL307">
            <v>200</v>
          </cell>
          <cell r="HN307">
            <v>200</v>
          </cell>
          <cell r="HO307">
            <v>200</v>
          </cell>
          <cell r="HQ307">
            <v>200</v>
          </cell>
          <cell r="HR307">
            <v>200</v>
          </cell>
          <cell r="HT307">
            <v>200</v>
          </cell>
          <cell r="HU307">
            <v>200</v>
          </cell>
          <cell r="HW307">
            <v>200</v>
          </cell>
          <cell r="HX307">
            <v>200</v>
          </cell>
          <cell r="HZ307">
            <v>200</v>
          </cell>
          <cell r="IA307">
            <v>200</v>
          </cell>
          <cell r="IC307">
            <v>200</v>
          </cell>
          <cell r="ID307">
            <v>200</v>
          </cell>
          <cell r="IF307">
            <v>200</v>
          </cell>
        </row>
        <row r="308">
          <cell r="GP308" t="str">
            <v>4.16 kV Non segregated Bus Type 4</v>
          </cell>
          <cell r="GQ308">
            <v>200</v>
          </cell>
          <cell r="GS308">
            <v>200</v>
          </cell>
          <cell r="GT308">
            <v>200</v>
          </cell>
          <cell r="GV308">
            <v>200</v>
          </cell>
          <cell r="GW308">
            <v>200</v>
          </cell>
          <cell r="GY308">
            <v>200</v>
          </cell>
          <cell r="GZ308">
            <v>200</v>
          </cell>
          <cell r="HB308">
            <v>200</v>
          </cell>
          <cell r="HC308">
            <v>200</v>
          </cell>
          <cell r="HE308">
            <v>200</v>
          </cell>
          <cell r="HF308">
            <v>200</v>
          </cell>
          <cell r="HH308">
            <v>200</v>
          </cell>
          <cell r="HI308">
            <v>200</v>
          </cell>
          <cell r="HK308">
            <v>200</v>
          </cell>
          <cell r="HL308">
            <v>200</v>
          </cell>
          <cell r="HN308">
            <v>200</v>
          </cell>
          <cell r="HO308">
            <v>200</v>
          </cell>
          <cell r="HQ308">
            <v>200</v>
          </cell>
          <cell r="HR308">
            <v>200</v>
          </cell>
          <cell r="HT308">
            <v>200</v>
          </cell>
          <cell r="HU308">
            <v>200</v>
          </cell>
          <cell r="HW308">
            <v>200</v>
          </cell>
          <cell r="HX308">
            <v>200</v>
          </cell>
          <cell r="HZ308">
            <v>200</v>
          </cell>
          <cell r="IA308">
            <v>200</v>
          </cell>
          <cell r="IC308">
            <v>200</v>
          </cell>
          <cell r="ID308">
            <v>200</v>
          </cell>
          <cell r="IF308">
            <v>200</v>
          </cell>
        </row>
        <row r="309">
          <cell r="GP309" t="str">
            <v>MV Switchgear</v>
          </cell>
          <cell r="GQ309">
            <v>100</v>
          </cell>
          <cell r="GS309">
            <v>100</v>
          </cell>
          <cell r="GT309">
            <v>100</v>
          </cell>
          <cell r="GV309">
            <v>100</v>
          </cell>
          <cell r="GW309">
            <v>100</v>
          </cell>
          <cell r="GY309">
            <v>100</v>
          </cell>
          <cell r="GZ309">
            <v>100</v>
          </cell>
          <cell r="HB309">
            <v>100</v>
          </cell>
          <cell r="HC309">
            <v>100</v>
          </cell>
          <cell r="HE309">
            <v>100</v>
          </cell>
          <cell r="HF309">
            <v>100</v>
          </cell>
          <cell r="HH309">
            <v>100</v>
          </cell>
          <cell r="HI309">
            <v>100</v>
          </cell>
          <cell r="HK309">
            <v>100</v>
          </cell>
          <cell r="HL309">
            <v>10</v>
          </cell>
          <cell r="HN309">
            <v>10</v>
          </cell>
          <cell r="HO309">
            <v>100</v>
          </cell>
          <cell r="HQ309">
            <v>100</v>
          </cell>
          <cell r="HR309">
            <v>100</v>
          </cell>
          <cell r="HT309">
            <v>100</v>
          </cell>
          <cell r="HU309">
            <v>100</v>
          </cell>
          <cell r="HW309">
            <v>100</v>
          </cell>
          <cell r="HX309">
            <v>100</v>
          </cell>
          <cell r="HZ309">
            <v>100</v>
          </cell>
          <cell r="IA309">
            <v>10</v>
          </cell>
          <cell r="IC309">
            <v>10</v>
          </cell>
          <cell r="ID309">
            <v>100</v>
          </cell>
          <cell r="IF309">
            <v>100</v>
          </cell>
        </row>
        <row r="310">
          <cell r="GP310" t="str">
            <v>STG GSU - Four Case, Four Flow</v>
          </cell>
          <cell r="GQ310">
            <v>2000</v>
          </cell>
          <cell r="GS310">
            <v>2000</v>
          </cell>
          <cell r="GT310">
            <v>2000</v>
          </cell>
          <cell r="GV310">
            <v>2000</v>
          </cell>
          <cell r="GW310">
            <v>2000</v>
          </cell>
          <cell r="GY310">
            <v>2000</v>
          </cell>
          <cell r="GZ310">
            <v>2000</v>
          </cell>
          <cell r="HB310">
            <v>2000</v>
          </cell>
          <cell r="HC310">
            <v>2000</v>
          </cell>
          <cell r="HE310">
            <v>2000</v>
          </cell>
          <cell r="HF310">
            <v>2000</v>
          </cell>
          <cell r="HH310">
            <v>2000</v>
          </cell>
          <cell r="HI310">
            <v>2000</v>
          </cell>
          <cell r="HK310">
            <v>2000</v>
          </cell>
          <cell r="HL310">
            <v>100</v>
          </cell>
          <cell r="HN310">
            <v>100</v>
          </cell>
          <cell r="HO310">
            <v>2000</v>
          </cell>
          <cell r="HQ310">
            <v>2000</v>
          </cell>
          <cell r="HR310">
            <v>2000</v>
          </cell>
          <cell r="HT310">
            <v>2000</v>
          </cell>
          <cell r="HU310">
            <v>2000</v>
          </cell>
          <cell r="HW310">
            <v>2000</v>
          </cell>
          <cell r="HX310">
            <v>2000</v>
          </cell>
          <cell r="HZ310">
            <v>2000</v>
          </cell>
          <cell r="IA310">
            <v>100</v>
          </cell>
          <cell r="IC310">
            <v>100</v>
          </cell>
          <cell r="ID310">
            <v>2000</v>
          </cell>
          <cell r="IF310">
            <v>2000</v>
          </cell>
        </row>
        <row r="311">
          <cell r="GP311" t="str">
            <v>STG GSU - GE - A Series</v>
          </cell>
          <cell r="GQ311">
            <v>1000</v>
          </cell>
          <cell r="GS311">
            <v>1000</v>
          </cell>
          <cell r="GT311">
            <v>1000</v>
          </cell>
          <cell r="GV311">
            <v>1000</v>
          </cell>
          <cell r="GW311">
            <v>1000</v>
          </cell>
          <cell r="GY311">
            <v>1000</v>
          </cell>
          <cell r="GZ311">
            <v>1000</v>
          </cell>
          <cell r="HB311">
            <v>1000</v>
          </cell>
          <cell r="HC311">
            <v>1000</v>
          </cell>
          <cell r="HE311">
            <v>1000</v>
          </cell>
          <cell r="HF311">
            <v>1000</v>
          </cell>
          <cell r="HH311">
            <v>1000</v>
          </cell>
          <cell r="HI311">
            <v>1000</v>
          </cell>
          <cell r="HK311">
            <v>1000</v>
          </cell>
          <cell r="HL311">
            <v>1000</v>
          </cell>
          <cell r="HN311">
            <v>1000</v>
          </cell>
          <cell r="HO311">
            <v>1000</v>
          </cell>
          <cell r="HQ311">
            <v>1000</v>
          </cell>
          <cell r="HR311">
            <v>1000</v>
          </cell>
          <cell r="HT311">
            <v>1000</v>
          </cell>
          <cell r="HU311">
            <v>1000</v>
          </cell>
          <cell r="HW311">
            <v>1000</v>
          </cell>
          <cell r="HX311">
            <v>1000</v>
          </cell>
          <cell r="HZ311">
            <v>1000</v>
          </cell>
          <cell r="IA311">
            <v>1000</v>
          </cell>
          <cell r="IC311">
            <v>1000</v>
          </cell>
          <cell r="ID311">
            <v>1000</v>
          </cell>
          <cell r="IF311">
            <v>1000</v>
          </cell>
        </row>
        <row r="312">
          <cell r="GP312" t="str">
            <v>STG GSU - GE - D Series</v>
          </cell>
          <cell r="GQ312">
            <v>2000</v>
          </cell>
          <cell r="GS312">
            <v>2000</v>
          </cell>
          <cell r="GT312">
            <v>2000</v>
          </cell>
          <cell r="GV312">
            <v>2000</v>
          </cell>
          <cell r="GW312">
            <v>2000</v>
          </cell>
          <cell r="GY312">
            <v>2000</v>
          </cell>
          <cell r="GZ312">
            <v>2000</v>
          </cell>
          <cell r="HB312">
            <v>2000</v>
          </cell>
          <cell r="HC312">
            <v>2000</v>
          </cell>
          <cell r="HE312">
            <v>2000</v>
          </cell>
          <cell r="HF312">
            <v>2000</v>
          </cell>
          <cell r="HH312">
            <v>2000</v>
          </cell>
          <cell r="HI312">
            <v>2000</v>
          </cell>
          <cell r="HK312">
            <v>2000</v>
          </cell>
          <cell r="HL312">
            <v>2000</v>
          </cell>
          <cell r="HN312">
            <v>2000</v>
          </cell>
          <cell r="HO312">
            <v>2000</v>
          </cell>
          <cell r="HQ312">
            <v>2000</v>
          </cell>
          <cell r="HR312">
            <v>2000</v>
          </cell>
          <cell r="HT312">
            <v>2000</v>
          </cell>
          <cell r="HU312">
            <v>2000</v>
          </cell>
          <cell r="HW312">
            <v>2000</v>
          </cell>
          <cell r="HX312">
            <v>2000</v>
          </cell>
          <cell r="HZ312">
            <v>2000</v>
          </cell>
          <cell r="IA312">
            <v>2000</v>
          </cell>
          <cell r="IC312">
            <v>2000</v>
          </cell>
          <cell r="ID312">
            <v>2000</v>
          </cell>
          <cell r="IF312">
            <v>2000</v>
          </cell>
        </row>
        <row r="313">
          <cell r="GP313" t="str">
            <v>STG GSU - GE - G Series</v>
          </cell>
          <cell r="GQ313">
            <v>2000</v>
          </cell>
          <cell r="GS313">
            <v>2000</v>
          </cell>
          <cell r="GT313">
            <v>2000</v>
          </cell>
          <cell r="GV313">
            <v>2000</v>
          </cell>
          <cell r="GW313">
            <v>2000</v>
          </cell>
          <cell r="GY313">
            <v>2000</v>
          </cell>
          <cell r="GZ313">
            <v>2000</v>
          </cell>
          <cell r="HB313">
            <v>2000</v>
          </cell>
          <cell r="HC313">
            <v>2000</v>
          </cell>
          <cell r="HE313">
            <v>2000</v>
          </cell>
          <cell r="HF313">
            <v>2000</v>
          </cell>
          <cell r="HH313">
            <v>2000</v>
          </cell>
          <cell r="HI313">
            <v>2000</v>
          </cell>
          <cell r="HK313">
            <v>2000</v>
          </cell>
          <cell r="HL313">
            <v>2000</v>
          </cell>
          <cell r="HN313">
            <v>2000</v>
          </cell>
          <cell r="HO313">
            <v>2000</v>
          </cell>
          <cell r="HQ313">
            <v>2000</v>
          </cell>
          <cell r="HR313">
            <v>2000</v>
          </cell>
          <cell r="HT313">
            <v>2000</v>
          </cell>
          <cell r="HU313">
            <v>2000</v>
          </cell>
          <cell r="HW313">
            <v>2000</v>
          </cell>
          <cell r="HX313">
            <v>2000</v>
          </cell>
          <cell r="HZ313">
            <v>2000</v>
          </cell>
          <cell r="IA313">
            <v>2000</v>
          </cell>
          <cell r="IC313">
            <v>2000</v>
          </cell>
          <cell r="ID313">
            <v>2000</v>
          </cell>
          <cell r="IF313">
            <v>2000</v>
          </cell>
        </row>
        <row r="314">
          <cell r="GP314" t="str">
            <v>STG GSU - Siemens SST-3000</v>
          </cell>
          <cell r="GQ314">
            <v>2000</v>
          </cell>
          <cell r="GS314">
            <v>2000</v>
          </cell>
          <cell r="GT314">
            <v>2000</v>
          </cell>
          <cell r="GV314">
            <v>2000</v>
          </cell>
          <cell r="GW314">
            <v>2000</v>
          </cell>
          <cell r="GY314">
            <v>2000</v>
          </cell>
          <cell r="GZ314">
            <v>2000</v>
          </cell>
          <cell r="HB314">
            <v>2000</v>
          </cell>
          <cell r="HC314">
            <v>2000</v>
          </cell>
          <cell r="HE314">
            <v>2000</v>
          </cell>
          <cell r="HF314">
            <v>2000</v>
          </cell>
          <cell r="HH314">
            <v>2000</v>
          </cell>
          <cell r="HI314">
            <v>2000</v>
          </cell>
          <cell r="HK314">
            <v>2000</v>
          </cell>
          <cell r="HL314">
            <v>2000</v>
          </cell>
          <cell r="HN314">
            <v>2000</v>
          </cell>
          <cell r="HO314">
            <v>2000</v>
          </cell>
          <cell r="HQ314">
            <v>2000</v>
          </cell>
          <cell r="HR314">
            <v>2000</v>
          </cell>
          <cell r="HT314">
            <v>2000</v>
          </cell>
          <cell r="HU314">
            <v>2000</v>
          </cell>
          <cell r="HW314">
            <v>2000</v>
          </cell>
          <cell r="HX314">
            <v>2000</v>
          </cell>
          <cell r="HZ314">
            <v>2000</v>
          </cell>
          <cell r="IA314">
            <v>2000</v>
          </cell>
          <cell r="IC314">
            <v>2000</v>
          </cell>
          <cell r="ID314">
            <v>2000</v>
          </cell>
          <cell r="IF314">
            <v>2000</v>
          </cell>
        </row>
        <row r="315">
          <cell r="GP315" t="str">
            <v>STG GSU - Siemens SST-5000</v>
          </cell>
          <cell r="GQ315">
            <v>2000</v>
          </cell>
          <cell r="GS315">
            <v>2000</v>
          </cell>
          <cell r="GT315">
            <v>2000</v>
          </cell>
          <cell r="GV315">
            <v>2000</v>
          </cell>
          <cell r="GW315">
            <v>2000</v>
          </cell>
          <cell r="GY315">
            <v>2000</v>
          </cell>
          <cell r="GZ315">
            <v>2000</v>
          </cell>
          <cell r="HB315">
            <v>2000</v>
          </cell>
          <cell r="HC315">
            <v>2000</v>
          </cell>
          <cell r="HE315">
            <v>2000</v>
          </cell>
          <cell r="HF315">
            <v>2000</v>
          </cell>
          <cell r="HH315">
            <v>2000</v>
          </cell>
          <cell r="HI315">
            <v>2000</v>
          </cell>
          <cell r="HK315">
            <v>2000</v>
          </cell>
          <cell r="HL315">
            <v>2000</v>
          </cell>
          <cell r="HN315">
            <v>2000</v>
          </cell>
          <cell r="HO315">
            <v>2000</v>
          </cell>
          <cell r="HQ315">
            <v>2000</v>
          </cell>
          <cell r="HR315">
            <v>2000</v>
          </cell>
          <cell r="HT315">
            <v>2000</v>
          </cell>
          <cell r="HU315">
            <v>2000</v>
          </cell>
          <cell r="HW315">
            <v>2000</v>
          </cell>
          <cell r="HX315">
            <v>2000</v>
          </cell>
          <cell r="HZ315">
            <v>2000</v>
          </cell>
          <cell r="IA315">
            <v>2000</v>
          </cell>
          <cell r="IC315">
            <v>2000</v>
          </cell>
          <cell r="ID315">
            <v>2000</v>
          </cell>
          <cell r="IF315">
            <v>2000</v>
          </cell>
        </row>
        <row r="316">
          <cell r="GP316" t="str">
            <v>STG GSU - Siemens SST-6000</v>
          </cell>
          <cell r="GQ316">
            <v>2000</v>
          </cell>
          <cell r="GS316">
            <v>2000</v>
          </cell>
          <cell r="GT316">
            <v>2000</v>
          </cell>
          <cell r="GV316">
            <v>2000</v>
          </cell>
          <cell r="GW316">
            <v>2000</v>
          </cell>
          <cell r="GY316">
            <v>2000</v>
          </cell>
          <cell r="GZ316">
            <v>2000</v>
          </cell>
          <cell r="HB316">
            <v>2000</v>
          </cell>
          <cell r="HC316">
            <v>2000</v>
          </cell>
          <cell r="HE316">
            <v>2000</v>
          </cell>
          <cell r="HF316">
            <v>2000</v>
          </cell>
          <cell r="HH316">
            <v>2000</v>
          </cell>
          <cell r="HI316">
            <v>2000</v>
          </cell>
          <cell r="HK316">
            <v>2000</v>
          </cell>
          <cell r="HL316">
            <v>2000</v>
          </cell>
          <cell r="HN316">
            <v>2000</v>
          </cell>
          <cell r="HO316">
            <v>2000</v>
          </cell>
          <cell r="HQ316">
            <v>2000</v>
          </cell>
          <cell r="HR316">
            <v>2000</v>
          </cell>
          <cell r="HT316">
            <v>2000</v>
          </cell>
          <cell r="HU316">
            <v>2000</v>
          </cell>
          <cell r="HW316">
            <v>2000</v>
          </cell>
          <cell r="HX316">
            <v>2000</v>
          </cell>
          <cell r="HZ316">
            <v>2000</v>
          </cell>
          <cell r="IA316">
            <v>2000</v>
          </cell>
          <cell r="IC316">
            <v>2000</v>
          </cell>
          <cell r="ID316">
            <v>2000</v>
          </cell>
          <cell r="IF316">
            <v>2000</v>
          </cell>
        </row>
        <row r="317">
          <cell r="GP317" t="str">
            <v>STG GSU - Siemens SST-900</v>
          </cell>
          <cell r="GQ317">
            <v>2000</v>
          </cell>
          <cell r="GS317">
            <v>2000</v>
          </cell>
          <cell r="GT317">
            <v>2000</v>
          </cell>
          <cell r="GV317">
            <v>2000</v>
          </cell>
          <cell r="GW317">
            <v>2000</v>
          </cell>
          <cell r="GY317">
            <v>2000</v>
          </cell>
          <cell r="GZ317">
            <v>2000</v>
          </cell>
          <cell r="HB317">
            <v>2000</v>
          </cell>
          <cell r="HC317">
            <v>2000</v>
          </cell>
          <cell r="HE317">
            <v>2000</v>
          </cell>
          <cell r="HF317">
            <v>2000</v>
          </cell>
          <cell r="HH317">
            <v>2000</v>
          </cell>
          <cell r="HI317">
            <v>2000</v>
          </cell>
          <cell r="HK317">
            <v>2000</v>
          </cell>
          <cell r="HL317">
            <v>2000</v>
          </cell>
          <cell r="HN317">
            <v>2000</v>
          </cell>
          <cell r="HO317">
            <v>2000</v>
          </cell>
          <cell r="HQ317">
            <v>2000</v>
          </cell>
          <cell r="HR317">
            <v>2000</v>
          </cell>
          <cell r="HT317">
            <v>2000</v>
          </cell>
          <cell r="HU317">
            <v>2000</v>
          </cell>
          <cell r="HW317">
            <v>2000</v>
          </cell>
          <cell r="HX317">
            <v>2000</v>
          </cell>
          <cell r="HZ317">
            <v>2000</v>
          </cell>
          <cell r="IA317">
            <v>2000</v>
          </cell>
          <cell r="IC317">
            <v>2000</v>
          </cell>
          <cell r="ID317">
            <v>2000</v>
          </cell>
          <cell r="IF317">
            <v>2000</v>
          </cell>
        </row>
        <row r="318">
          <cell r="GP318" t="str">
            <v>STG GSU - Two Case, Double Flow</v>
          </cell>
          <cell r="GQ318">
            <v>2000</v>
          </cell>
          <cell r="GS318">
            <v>2000</v>
          </cell>
          <cell r="GT318">
            <v>2000</v>
          </cell>
          <cell r="GV318">
            <v>2000</v>
          </cell>
          <cell r="GW318">
            <v>2000</v>
          </cell>
          <cell r="GY318">
            <v>2000</v>
          </cell>
          <cell r="GZ318">
            <v>2000</v>
          </cell>
          <cell r="HB318">
            <v>2000</v>
          </cell>
          <cell r="HC318">
            <v>2000</v>
          </cell>
          <cell r="HE318">
            <v>2000</v>
          </cell>
          <cell r="HF318">
            <v>2000</v>
          </cell>
          <cell r="HH318">
            <v>2000</v>
          </cell>
          <cell r="HI318">
            <v>2000</v>
          </cell>
          <cell r="HK318">
            <v>2000</v>
          </cell>
          <cell r="HL318">
            <v>2000</v>
          </cell>
          <cell r="HN318">
            <v>2000</v>
          </cell>
          <cell r="HO318">
            <v>2000</v>
          </cell>
          <cell r="HQ318">
            <v>2000</v>
          </cell>
          <cell r="HR318">
            <v>2000</v>
          </cell>
          <cell r="HT318">
            <v>2000</v>
          </cell>
          <cell r="HU318">
            <v>2000</v>
          </cell>
          <cell r="HW318">
            <v>2000</v>
          </cell>
          <cell r="HX318">
            <v>2000</v>
          </cell>
          <cell r="HZ318">
            <v>2000</v>
          </cell>
          <cell r="IA318">
            <v>2000</v>
          </cell>
          <cell r="IC318">
            <v>2000</v>
          </cell>
          <cell r="ID318">
            <v>2000</v>
          </cell>
          <cell r="IF318">
            <v>2000</v>
          </cell>
        </row>
        <row r="319">
          <cell r="GP319" t="str">
            <v>STG GSU - Two Case, Single Flow</v>
          </cell>
          <cell r="GQ319">
            <v>1000</v>
          </cell>
          <cell r="GS319">
            <v>1000</v>
          </cell>
          <cell r="GT319">
            <v>1000</v>
          </cell>
          <cell r="GV319">
            <v>1000</v>
          </cell>
          <cell r="GW319">
            <v>1000</v>
          </cell>
          <cell r="GY319">
            <v>1000</v>
          </cell>
          <cell r="GZ319">
            <v>1000</v>
          </cell>
          <cell r="HB319">
            <v>1000</v>
          </cell>
          <cell r="HC319">
            <v>1000</v>
          </cell>
          <cell r="HE319">
            <v>1000</v>
          </cell>
          <cell r="HF319">
            <v>1000</v>
          </cell>
          <cell r="HH319">
            <v>1000</v>
          </cell>
          <cell r="HI319">
            <v>1000</v>
          </cell>
          <cell r="HK319">
            <v>1000</v>
          </cell>
          <cell r="HL319">
            <v>1000</v>
          </cell>
          <cell r="HN319">
            <v>1000</v>
          </cell>
          <cell r="HO319">
            <v>1000</v>
          </cell>
          <cell r="HQ319">
            <v>1000</v>
          </cell>
          <cell r="HR319">
            <v>1000</v>
          </cell>
          <cell r="HT319">
            <v>1000</v>
          </cell>
          <cell r="HU319">
            <v>1000</v>
          </cell>
          <cell r="HW319">
            <v>1000</v>
          </cell>
          <cell r="HX319">
            <v>1000</v>
          </cell>
          <cell r="HZ319">
            <v>1000</v>
          </cell>
          <cell r="IA319">
            <v>1000</v>
          </cell>
          <cell r="IC319">
            <v>1000</v>
          </cell>
          <cell r="ID319">
            <v>1000</v>
          </cell>
          <cell r="IF319">
            <v>1000</v>
          </cell>
        </row>
        <row r="320">
          <cell r="GP320" t="str">
            <v xml:space="preserve">STG GSU - </v>
          </cell>
          <cell r="GS320">
            <v>0</v>
          </cell>
          <cell r="GV320">
            <v>0</v>
          </cell>
          <cell r="GY320">
            <v>0</v>
          </cell>
          <cell r="HB320">
            <v>0</v>
          </cell>
          <cell r="HE320">
            <v>0</v>
          </cell>
          <cell r="HH320">
            <v>0</v>
          </cell>
          <cell r="HK320">
            <v>0</v>
          </cell>
          <cell r="HN320">
            <v>0</v>
          </cell>
          <cell r="HQ320">
            <v>0</v>
          </cell>
          <cell r="HT320">
            <v>0</v>
          </cell>
          <cell r="HW320">
            <v>0</v>
          </cell>
          <cell r="HZ320">
            <v>0</v>
          </cell>
          <cell r="IC320">
            <v>0</v>
          </cell>
          <cell r="IF320">
            <v>0</v>
          </cell>
        </row>
        <row r="321">
          <cell r="GP321" t="str">
            <v xml:space="preserve">STG GSU - </v>
          </cell>
          <cell r="GS321">
            <v>0</v>
          </cell>
          <cell r="GV321">
            <v>0</v>
          </cell>
          <cell r="GY321">
            <v>0</v>
          </cell>
          <cell r="HB321">
            <v>0</v>
          </cell>
          <cell r="HE321">
            <v>0</v>
          </cell>
          <cell r="HH321">
            <v>0</v>
          </cell>
          <cell r="HK321">
            <v>0</v>
          </cell>
          <cell r="HN321">
            <v>0</v>
          </cell>
          <cell r="HQ321">
            <v>0</v>
          </cell>
          <cell r="HT321">
            <v>0</v>
          </cell>
          <cell r="HW321">
            <v>0</v>
          </cell>
          <cell r="HZ321">
            <v>0</v>
          </cell>
          <cell r="IC321">
            <v>0</v>
          </cell>
          <cell r="IF321">
            <v>0</v>
          </cell>
        </row>
        <row r="322">
          <cell r="GP322" t="str">
            <v xml:space="preserve">STG GSU - </v>
          </cell>
          <cell r="GS322">
            <v>0</v>
          </cell>
          <cell r="GV322">
            <v>0</v>
          </cell>
          <cell r="GY322">
            <v>0</v>
          </cell>
          <cell r="HB322">
            <v>0</v>
          </cell>
          <cell r="HE322">
            <v>0</v>
          </cell>
          <cell r="HH322">
            <v>0</v>
          </cell>
          <cell r="HK322">
            <v>0</v>
          </cell>
          <cell r="HN322">
            <v>0</v>
          </cell>
          <cell r="HQ322">
            <v>0</v>
          </cell>
          <cell r="HT322">
            <v>0</v>
          </cell>
          <cell r="HW322">
            <v>0</v>
          </cell>
          <cell r="HZ322">
            <v>0</v>
          </cell>
          <cell r="IC322">
            <v>0</v>
          </cell>
          <cell r="IF322">
            <v>0</v>
          </cell>
        </row>
        <row r="323">
          <cell r="GP323" t="str">
            <v xml:space="preserve">STG GSU - </v>
          </cell>
          <cell r="GS323">
            <v>0</v>
          </cell>
          <cell r="GV323">
            <v>0</v>
          </cell>
          <cell r="GY323">
            <v>0</v>
          </cell>
          <cell r="HB323">
            <v>0</v>
          </cell>
          <cell r="HE323">
            <v>0</v>
          </cell>
          <cell r="HH323">
            <v>0</v>
          </cell>
          <cell r="HK323">
            <v>0</v>
          </cell>
          <cell r="HN323">
            <v>0</v>
          </cell>
          <cell r="HQ323">
            <v>0</v>
          </cell>
          <cell r="HT323">
            <v>0</v>
          </cell>
          <cell r="HW323">
            <v>0</v>
          </cell>
          <cell r="HZ323">
            <v>0</v>
          </cell>
          <cell r="IC323">
            <v>0</v>
          </cell>
          <cell r="IF323">
            <v>0</v>
          </cell>
        </row>
        <row r="324">
          <cell r="GP324">
            <v>0</v>
          </cell>
          <cell r="GS324">
            <v>0</v>
          </cell>
          <cell r="GV324">
            <v>0</v>
          </cell>
          <cell r="GY324">
            <v>0</v>
          </cell>
          <cell r="HB324">
            <v>0</v>
          </cell>
          <cell r="HE324">
            <v>0</v>
          </cell>
          <cell r="HH324">
            <v>0</v>
          </cell>
          <cell r="HK324">
            <v>0</v>
          </cell>
          <cell r="HN324">
            <v>0</v>
          </cell>
          <cell r="HQ324">
            <v>0</v>
          </cell>
          <cell r="HT324">
            <v>0</v>
          </cell>
          <cell r="HW324">
            <v>0</v>
          </cell>
          <cell r="HZ324">
            <v>0</v>
          </cell>
          <cell r="IC324">
            <v>0</v>
          </cell>
          <cell r="IF324">
            <v>0</v>
          </cell>
        </row>
        <row r="325">
          <cell r="GP325">
            <v>0</v>
          </cell>
          <cell r="GS325">
            <v>0</v>
          </cell>
          <cell r="GV325">
            <v>0</v>
          </cell>
          <cell r="GY325">
            <v>0</v>
          </cell>
          <cell r="HB325">
            <v>0</v>
          </cell>
          <cell r="HE325">
            <v>0</v>
          </cell>
          <cell r="HH325">
            <v>0</v>
          </cell>
          <cell r="HK325">
            <v>0</v>
          </cell>
          <cell r="HN325">
            <v>0</v>
          </cell>
          <cell r="HQ325">
            <v>0</v>
          </cell>
          <cell r="HT325">
            <v>0</v>
          </cell>
          <cell r="HW325">
            <v>0</v>
          </cell>
          <cell r="HZ325">
            <v>0</v>
          </cell>
          <cell r="IC325">
            <v>0</v>
          </cell>
          <cell r="IF325">
            <v>0</v>
          </cell>
        </row>
        <row r="326">
          <cell r="GP326">
            <v>0</v>
          </cell>
          <cell r="GS326">
            <v>0</v>
          </cell>
          <cell r="GV326">
            <v>0</v>
          </cell>
          <cell r="GY326">
            <v>0</v>
          </cell>
          <cell r="HB326">
            <v>0</v>
          </cell>
          <cell r="HE326">
            <v>0</v>
          </cell>
          <cell r="HH326">
            <v>0</v>
          </cell>
          <cell r="HK326">
            <v>0</v>
          </cell>
          <cell r="HN326">
            <v>0</v>
          </cell>
          <cell r="HQ326">
            <v>0</v>
          </cell>
          <cell r="HT326">
            <v>0</v>
          </cell>
          <cell r="HW326">
            <v>0</v>
          </cell>
          <cell r="HZ326">
            <v>0</v>
          </cell>
          <cell r="IC326">
            <v>0</v>
          </cell>
          <cell r="IF326">
            <v>0</v>
          </cell>
        </row>
        <row r="327">
          <cell r="GP327">
            <v>0</v>
          </cell>
          <cell r="GS327">
            <v>0</v>
          </cell>
          <cell r="GV327">
            <v>0</v>
          </cell>
          <cell r="GY327">
            <v>0</v>
          </cell>
          <cell r="HB327">
            <v>0</v>
          </cell>
          <cell r="HE327">
            <v>0</v>
          </cell>
          <cell r="HH327">
            <v>0</v>
          </cell>
          <cell r="HK327">
            <v>0</v>
          </cell>
          <cell r="HN327">
            <v>0</v>
          </cell>
          <cell r="HQ327">
            <v>0</v>
          </cell>
          <cell r="HT327">
            <v>0</v>
          </cell>
          <cell r="HW327">
            <v>0</v>
          </cell>
          <cell r="HZ327">
            <v>0</v>
          </cell>
          <cell r="IC327">
            <v>0</v>
          </cell>
          <cell r="IF327">
            <v>0</v>
          </cell>
        </row>
        <row r="328">
          <cell r="GP328">
            <v>0</v>
          </cell>
          <cell r="GS328">
            <v>0</v>
          </cell>
          <cell r="GV328">
            <v>0</v>
          </cell>
          <cell r="GY328">
            <v>0</v>
          </cell>
          <cell r="HB328">
            <v>0</v>
          </cell>
          <cell r="HE328">
            <v>0</v>
          </cell>
          <cell r="HH328">
            <v>0</v>
          </cell>
          <cell r="HK328">
            <v>0</v>
          </cell>
          <cell r="HN328">
            <v>0</v>
          </cell>
          <cell r="HQ328">
            <v>0</v>
          </cell>
          <cell r="HT328">
            <v>0</v>
          </cell>
          <cell r="HW328">
            <v>0</v>
          </cell>
          <cell r="HZ328">
            <v>0</v>
          </cell>
          <cell r="IC328">
            <v>0</v>
          </cell>
          <cell r="IF328">
            <v>0</v>
          </cell>
        </row>
        <row r="329">
          <cell r="GP329">
            <v>0</v>
          </cell>
          <cell r="GS329">
            <v>0</v>
          </cell>
          <cell r="GV329">
            <v>0</v>
          </cell>
          <cell r="GY329">
            <v>0</v>
          </cell>
          <cell r="HB329">
            <v>0</v>
          </cell>
          <cell r="HE329">
            <v>0</v>
          </cell>
          <cell r="HH329">
            <v>0</v>
          </cell>
          <cell r="HK329">
            <v>0</v>
          </cell>
          <cell r="HN329">
            <v>0</v>
          </cell>
          <cell r="HQ329">
            <v>0</v>
          </cell>
          <cell r="HT329">
            <v>0</v>
          </cell>
          <cell r="HW329">
            <v>0</v>
          </cell>
          <cell r="HZ329">
            <v>0</v>
          </cell>
          <cell r="IC329">
            <v>0</v>
          </cell>
          <cell r="IF329">
            <v>0</v>
          </cell>
        </row>
        <row r="330">
          <cell r="GP330">
            <v>0</v>
          </cell>
          <cell r="GS330">
            <v>0</v>
          </cell>
          <cell r="GV330">
            <v>0</v>
          </cell>
          <cell r="GY330">
            <v>0</v>
          </cell>
          <cell r="HB330">
            <v>0</v>
          </cell>
          <cell r="HE330">
            <v>0</v>
          </cell>
          <cell r="HH330">
            <v>0</v>
          </cell>
          <cell r="HK330">
            <v>0</v>
          </cell>
          <cell r="HN330">
            <v>0</v>
          </cell>
          <cell r="HQ330">
            <v>0</v>
          </cell>
          <cell r="HT330">
            <v>0</v>
          </cell>
          <cell r="HW330">
            <v>0</v>
          </cell>
          <cell r="HZ330">
            <v>0</v>
          </cell>
          <cell r="IC330">
            <v>0</v>
          </cell>
          <cell r="IF330">
            <v>0</v>
          </cell>
        </row>
        <row r="331">
          <cell r="GP331">
            <v>0</v>
          </cell>
          <cell r="GS331">
            <v>0</v>
          </cell>
          <cell r="GV331">
            <v>0</v>
          </cell>
          <cell r="GY331">
            <v>0</v>
          </cell>
          <cell r="HB331">
            <v>0</v>
          </cell>
          <cell r="HE331">
            <v>0</v>
          </cell>
          <cell r="HH331">
            <v>0</v>
          </cell>
          <cell r="HK331">
            <v>0</v>
          </cell>
          <cell r="HN331">
            <v>0</v>
          </cell>
          <cell r="HQ331">
            <v>0</v>
          </cell>
          <cell r="HT331">
            <v>0</v>
          </cell>
          <cell r="HW331">
            <v>0</v>
          </cell>
          <cell r="HZ331">
            <v>0</v>
          </cell>
          <cell r="IC331">
            <v>0</v>
          </cell>
          <cell r="IF331">
            <v>0</v>
          </cell>
        </row>
        <row r="335">
          <cell r="GP335" t="str">
            <v>Description</v>
          </cell>
          <cell r="GS335">
            <v>1</v>
          </cell>
          <cell r="GV335">
            <v>2</v>
          </cell>
          <cell r="GY335">
            <v>3</v>
          </cell>
          <cell r="HB335">
            <v>4</v>
          </cell>
          <cell r="HE335">
            <v>5</v>
          </cell>
          <cell r="HH335">
            <v>6</v>
          </cell>
          <cell r="HK335">
            <v>7</v>
          </cell>
          <cell r="HN335">
            <v>8</v>
          </cell>
          <cell r="HQ335">
            <v>9</v>
          </cell>
          <cell r="HT335">
            <v>10</v>
          </cell>
          <cell r="HW335">
            <v>11</v>
          </cell>
          <cell r="HZ335">
            <v>12</v>
          </cell>
          <cell r="IC335">
            <v>13</v>
          </cell>
          <cell r="IF335">
            <v>14</v>
          </cell>
          <cell r="IG335">
            <v>15</v>
          </cell>
          <cell r="IH335">
            <v>16</v>
          </cell>
        </row>
        <row r="336">
          <cell r="GP336" t="str">
            <v>DCS - 2x1 7FA</v>
          </cell>
          <cell r="GQ336">
            <v>2000</v>
          </cell>
          <cell r="GS336">
            <v>2000</v>
          </cell>
          <cell r="GT336">
            <v>2000</v>
          </cell>
          <cell r="GV336">
            <v>2000</v>
          </cell>
          <cell r="GW336">
            <v>2000</v>
          </cell>
          <cell r="GY336">
            <v>2000</v>
          </cell>
          <cell r="GZ336">
            <v>2000</v>
          </cell>
          <cell r="HB336">
            <v>2000</v>
          </cell>
          <cell r="HC336">
            <v>2000</v>
          </cell>
          <cell r="HE336">
            <v>2000</v>
          </cell>
          <cell r="HF336">
            <v>2000</v>
          </cell>
          <cell r="HH336">
            <v>2000</v>
          </cell>
          <cell r="HI336">
            <v>2000</v>
          </cell>
          <cell r="HK336">
            <v>2000</v>
          </cell>
          <cell r="HL336">
            <v>2000</v>
          </cell>
          <cell r="HN336">
            <v>2000</v>
          </cell>
          <cell r="HO336">
            <v>2000</v>
          </cell>
          <cell r="HQ336">
            <v>2000</v>
          </cell>
          <cell r="HR336">
            <v>2000</v>
          </cell>
          <cell r="HT336">
            <v>2000</v>
          </cell>
          <cell r="HU336">
            <v>2000</v>
          </cell>
          <cell r="HW336">
            <v>2000</v>
          </cell>
          <cell r="HX336">
            <v>2000</v>
          </cell>
          <cell r="HZ336">
            <v>2000</v>
          </cell>
          <cell r="IA336">
            <v>2000</v>
          </cell>
          <cell r="IC336">
            <v>2000</v>
          </cell>
          <cell r="ID336">
            <v>2000</v>
          </cell>
          <cell r="IF336">
            <v>2000</v>
          </cell>
        </row>
        <row r="337">
          <cell r="GP337" t="str">
            <v>DCS - LMS100 - (4)</v>
          </cell>
          <cell r="GQ337">
            <v>2000</v>
          </cell>
          <cell r="GS337">
            <v>2000</v>
          </cell>
          <cell r="GT337">
            <v>2000</v>
          </cell>
          <cell r="GV337">
            <v>2000</v>
          </cell>
          <cell r="GW337">
            <v>2000</v>
          </cell>
          <cell r="GY337">
            <v>2000</v>
          </cell>
          <cell r="GZ337">
            <v>2000</v>
          </cell>
          <cell r="HB337">
            <v>2000</v>
          </cell>
          <cell r="HC337">
            <v>2000</v>
          </cell>
          <cell r="HE337">
            <v>2000</v>
          </cell>
          <cell r="HF337">
            <v>2000</v>
          </cell>
          <cell r="HH337">
            <v>2000</v>
          </cell>
          <cell r="HI337">
            <v>2000</v>
          </cell>
          <cell r="HK337">
            <v>2000</v>
          </cell>
          <cell r="HL337">
            <v>2000</v>
          </cell>
          <cell r="HN337">
            <v>2000</v>
          </cell>
          <cell r="HO337">
            <v>2000</v>
          </cell>
          <cell r="HQ337">
            <v>2000</v>
          </cell>
          <cell r="HR337">
            <v>2000</v>
          </cell>
          <cell r="HT337">
            <v>2000</v>
          </cell>
          <cell r="HU337">
            <v>2000</v>
          </cell>
          <cell r="HW337">
            <v>2000</v>
          </cell>
          <cell r="HX337">
            <v>2000</v>
          </cell>
          <cell r="HZ337">
            <v>2000</v>
          </cell>
          <cell r="IA337">
            <v>2000</v>
          </cell>
          <cell r="IC337">
            <v>2000</v>
          </cell>
          <cell r="ID337">
            <v>2000</v>
          </cell>
          <cell r="IF337">
            <v>2000</v>
          </cell>
        </row>
        <row r="338">
          <cell r="GP338" t="str">
            <v>DCS - Trent 60</v>
          </cell>
          <cell r="GQ338">
            <v>1000</v>
          </cell>
          <cell r="GS338">
            <v>1000</v>
          </cell>
          <cell r="GT338">
            <v>1000</v>
          </cell>
          <cell r="GV338">
            <v>1000</v>
          </cell>
          <cell r="GW338">
            <v>1000</v>
          </cell>
          <cell r="GY338">
            <v>1000</v>
          </cell>
          <cell r="GZ338">
            <v>1000</v>
          </cell>
          <cell r="HB338">
            <v>1000</v>
          </cell>
          <cell r="HC338">
            <v>1000</v>
          </cell>
          <cell r="HE338">
            <v>1000</v>
          </cell>
          <cell r="HF338">
            <v>1000</v>
          </cell>
          <cell r="HH338">
            <v>1000</v>
          </cell>
          <cell r="HI338">
            <v>1000</v>
          </cell>
          <cell r="HK338">
            <v>1000</v>
          </cell>
          <cell r="HL338">
            <v>1000</v>
          </cell>
          <cell r="HN338">
            <v>1000</v>
          </cell>
          <cell r="HO338">
            <v>1000</v>
          </cell>
          <cell r="HQ338">
            <v>1000</v>
          </cell>
          <cell r="HR338">
            <v>1000</v>
          </cell>
          <cell r="HT338">
            <v>1000</v>
          </cell>
          <cell r="HU338">
            <v>1000</v>
          </cell>
          <cell r="HW338">
            <v>1000</v>
          </cell>
          <cell r="HX338">
            <v>1000</v>
          </cell>
          <cell r="HZ338">
            <v>1000</v>
          </cell>
          <cell r="IA338">
            <v>1000</v>
          </cell>
          <cell r="IC338">
            <v>1000</v>
          </cell>
          <cell r="ID338">
            <v>1000</v>
          </cell>
          <cell r="IF338">
            <v>1000</v>
          </cell>
        </row>
        <row r="339">
          <cell r="GP339" t="str">
            <v>DCS - LM6000</v>
          </cell>
          <cell r="GQ339">
            <v>1000</v>
          </cell>
          <cell r="GS339">
            <v>1000</v>
          </cell>
          <cell r="GT339">
            <v>1000</v>
          </cell>
          <cell r="GV339">
            <v>1000</v>
          </cell>
          <cell r="GW339">
            <v>1000</v>
          </cell>
          <cell r="GY339">
            <v>1000</v>
          </cell>
          <cell r="GZ339">
            <v>1000</v>
          </cell>
          <cell r="HB339">
            <v>1000</v>
          </cell>
          <cell r="HC339">
            <v>1000</v>
          </cell>
          <cell r="HE339">
            <v>1000</v>
          </cell>
          <cell r="HF339">
            <v>1000</v>
          </cell>
          <cell r="HH339">
            <v>1000</v>
          </cell>
          <cell r="HI339">
            <v>1000</v>
          </cell>
          <cell r="HK339">
            <v>1000</v>
          </cell>
          <cell r="HL339">
            <v>1000</v>
          </cell>
          <cell r="HN339">
            <v>1000</v>
          </cell>
          <cell r="HO339">
            <v>1000</v>
          </cell>
          <cell r="HQ339">
            <v>1000</v>
          </cell>
          <cell r="HR339">
            <v>1000</v>
          </cell>
          <cell r="HT339">
            <v>1000</v>
          </cell>
          <cell r="HU339">
            <v>1000</v>
          </cell>
          <cell r="HW339">
            <v>1000</v>
          </cell>
          <cell r="HX339">
            <v>1000</v>
          </cell>
          <cell r="HZ339">
            <v>1000</v>
          </cell>
          <cell r="IA339">
            <v>1000</v>
          </cell>
          <cell r="IC339">
            <v>1000</v>
          </cell>
          <cell r="ID339">
            <v>1000</v>
          </cell>
          <cell r="IF339">
            <v>1000</v>
          </cell>
        </row>
        <row r="340">
          <cell r="GP340" t="str">
            <v>DCS - GE 7EA (7)</v>
          </cell>
          <cell r="GQ340">
            <v>1000</v>
          </cell>
          <cell r="GS340">
            <v>1000</v>
          </cell>
          <cell r="GT340">
            <v>1000</v>
          </cell>
          <cell r="GV340">
            <v>1000</v>
          </cell>
          <cell r="GW340">
            <v>1000</v>
          </cell>
          <cell r="GY340">
            <v>1000</v>
          </cell>
          <cell r="GZ340">
            <v>1000</v>
          </cell>
          <cell r="HB340">
            <v>1000</v>
          </cell>
          <cell r="HC340">
            <v>1000</v>
          </cell>
          <cell r="HE340">
            <v>1000</v>
          </cell>
          <cell r="HF340">
            <v>1000</v>
          </cell>
          <cell r="HH340">
            <v>1000</v>
          </cell>
          <cell r="HI340">
            <v>1000</v>
          </cell>
          <cell r="HK340">
            <v>1000</v>
          </cell>
          <cell r="HL340">
            <v>1000</v>
          </cell>
          <cell r="HN340">
            <v>1000</v>
          </cell>
          <cell r="HO340">
            <v>1000</v>
          </cell>
          <cell r="HQ340">
            <v>1000</v>
          </cell>
          <cell r="HR340">
            <v>1000</v>
          </cell>
          <cell r="HT340">
            <v>1000</v>
          </cell>
          <cell r="HU340">
            <v>1000</v>
          </cell>
          <cell r="HW340">
            <v>1000</v>
          </cell>
          <cell r="HX340">
            <v>1000</v>
          </cell>
          <cell r="HZ340">
            <v>1000</v>
          </cell>
          <cell r="IA340">
            <v>1000</v>
          </cell>
          <cell r="IC340">
            <v>1000</v>
          </cell>
          <cell r="ID340">
            <v>1000</v>
          </cell>
          <cell r="IF340">
            <v>1000</v>
          </cell>
        </row>
        <row r="341">
          <cell r="GP341" t="str">
            <v>DCS - 3x1 7FA</v>
          </cell>
          <cell r="GQ341">
            <v>2000</v>
          </cell>
          <cell r="GS341">
            <v>2000</v>
          </cell>
          <cell r="GT341">
            <v>2000</v>
          </cell>
          <cell r="GV341">
            <v>2000</v>
          </cell>
          <cell r="GW341">
            <v>2000</v>
          </cell>
          <cell r="GY341">
            <v>2000</v>
          </cell>
          <cell r="GZ341">
            <v>2000</v>
          </cell>
          <cell r="HB341">
            <v>2000</v>
          </cell>
          <cell r="HC341">
            <v>2000</v>
          </cell>
          <cell r="HE341">
            <v>2000</v>
          </cell>
          <cell r="HF341">
            <v>2000</v>
          </cell>
          <cell r="HH341">
            <v>2000</v>
          </cell>
          <cell r="HI341">
            <v>2000</v>
          </cell>
          <cell r="HK341">
            <v>2000</v>
          </cell>
          <cell r="HL341">
            <v>2000</v>
          </cell>
          <cell r="HN341">
            <v>2000</v>
          </cell>
          <cell r="HO341">
            <v>2000</v>
          </cell>
          <cell r="HQ341">
            <v>2000</v>
          </cell>
          <cell r="HR341">
            <v>2000</v>
          </cell>
          <cell r="HT341">
            <v>2000</v>
          </cell>
          <cell r="HU341">
            <v>2000</v>
          </cell>
          <cell r="HW341">
            <v>2000</v>
          </cell>
          <cell r="HX341">
            <v>2000</v>
          </cell>
          <cell r="HZ341">
            <v>2000</v>
          </cell>
          <cell r="IA341">
            <v>2000</v>
          </cell>
          <cell r="IC341">
            <v>2000</v>
          </cell>
          <cell r="ID341">
            <v>2000</v>
          </cell>
          <cell r="IF341">
            <v>2000</v>
          </cell>
        </row>
        <row r="342">
          <cell r="GP342" t="str">
            <v>3x0 Mark VI</v>
          </cell>
          <cell r="GQ342">
            <v>2000</v>
          </cell>
          <cell r="GS342">
            <v>2000</v>
          </cell>
          <cell r="GT342">
            <v>2000</v>
          </cell>
          <cell r="GV342">
            <v>2000</v>
          </cell>
          <cell r="GW342">
            <v>2000</v>
          </cell>
          <cell r="GY342">
            <v>2000</v>
          </cell>
          <cell r="GZ342">
            <v>2000</v>
          </cell>
          <cell r="HB342">
            <v>2000</v>
          </cell>
          <cell r="HC342">
            <v>2000</v>
          </cell>
          <cell r="HE342">
            <v>2000</v>
          </cell>
          <cell r="HF342">
            <v>2000</v>
          </cell>
          <cell r="HH342">
            <v>2000</v>
          </cell>
          <cell r="HI342">
            <v>2000</v>
          </cell>
          <cell r="HK342">
            <v>2000</v>
          </cell>
          <cell r="HL342">
            <v>2000</v>
          </cell>
          <cell r="HN342">
            <v>2000</v>
          </cell>
          <cell r="HO342">
            <v>2000</v>
          </cell>
          <cell r="HQ342">
            <v>2000</v>
          </cell>
          <cell r="HR342">
            <v>2000</v>
          </cell>
          <cell r="HT342">
            <v>2000</v>
          </cell>
          <cell r="HU342">
            <v>2000</v>
          </cell>
          <cell r="HW342">
            <v>2000</v>
          </cell>
          <cell r="HX342">
            <v>2000</v>
          </cell>
          <cell r="HZ342">
            <v>2000</v>
          </cell>
          <cell r="IA342">
            <v>2000</v>
          </cell>
          <cell r="IC342">
            <v>2000</v>
          </cell>
          <cell r="ID342">
            <v>2000</v>
          </cell>
          <cell r="IF342">
            <v>2000</v>
          </cell>
        </row>
        <row r="343">
          <cell r="GP343" t="str">
            <v>DCS - 4x2 7FA</v>
          </cell>
          <cell r="GQ343">
            <v>3000</v>
          </cell>
          <cell r="GS343">
            <v>3000</v>
          </cell>
          <cell r="GT343">
            <v>3000</v>
          </cell>
          <cell r="GV343">
            <v>3000</v>
          </cell>
          <cell r="GW343">
            <v>3000</v>
          </cell>
          <cell r="GY343">
            <v>3000</v>
          </cell>
          <cell r="GZ343">
            <v>3000</v>
          </cell>
          <cell r="HB343">
            <v>3000</v>
          </cell>
          <cell r="HC343">
            <v>3000</v>
          </cell>
          <cell r="HE343">
            <v>3000</v>
          </cell>
          <cell r="HF343">
            <v>3000</v>
          </cell>
          <cell r="HH343">
            <v>3000</v>
          </cell>
          <cell r="HI343">
            <v>3000</v>
          </cell>
          <cell r="HK343">
            <v>3000</v>
          </cell>
          <cell r="HL343">
            <v>3000</v>
          </cell>
          <cell r="HN343">
            <v>3000</v>
          </cell>
          <cell r="HO343">
            <v>3000</v>
          </cell>
          <cell r="HQ343">
            <v>3000</v>
          </cell>
          <cell r="HR343">
            <v>3000</v>
          </cell>
          <cell r="HT343">
            <v>3000</v>
          </cell>
          <cell r="HU343">
            <v>3000</v>
          </cell>
          <cell r="HW343">
            <v>3000</v>
          </cell>
          <cell r="HX343">
            <v>3000</v>
          </cell>
          <cell r="HZ343">
            <v>3000</v>
          </cell>
          <cell r="IA343">
            <v>3000</v>
          </cell>
          <cell r="IC343">
            <v>3000</v>
          </cell>
          <cell r="ID343">
            <v>3000</v>
          </cell>
          <cell r="IF343">
            <v>3000</v>
          </cell>
        </row>
        <row r="344">
          <cell r="GP344" t="str">
            <v>DCS - GE 7EA (1)</v>
          </cell>
          <cell r="GQ344">
            <v>1000</v>
          </cell>
          <cell r="GS344">
            <v>1000</v>
          </cell>
          <cell r="GT344">
            <v>1000</v>
          </cell>
          <cell r="GV344">
            <v>1000</v>
          </cell>
          <cell r="GW344">
            <v>1000</v>
          </cell>
          <cell r="GY344">
            <v>1000</v>
          </cell>
          <cell r="GZ344">
            <v>1000</v>
          </cell>
          <cell r="HB344">
            <v>1000</v>
          </cell>
          <cell r="HC344">
            <v>1000</v>
          </cell>
          <cell r="HE344">
            <v>1000</v>
          </cell>
          <cell r="HF344">
            <v>1000</v>
          </cell>
          <cell r="HH344">
            <v>1000</v>
          </cell>
          <cell r="HI344">
            <v>1000</v>
          </cell>
          <cell r="HK344">
            <v>1000</v>
          </cell>
          <cell r="HL344">
            <v>1000</v>
          </cell>
          <cell r="HN344">
            <v>1000</v>
          </cell>
          <cell r="HO344">
            <v>1000</v>
          </cell>
          <cell r="HQ344">
            <v>1000</v>
          </cell>
          <cell r="HR344">
            <v>1000</v>
          </cell>
          <cell r="HT344">
            <v>1000</v>
          </cell>
          <cell r="HU344">
            <v>1000</v>
          </cell>
          <cell r="HW344">
            <v>1000</v>
          </cell>
          <cell r="HX344">
            <v>1000</v>
          </cell>
          <cell r="HZ344">
            <v>1000</v>
          </cell>
          <cell r="IA344">
            <v>1000</v>
          </cell>
          <cell r="IC344">
            <v>1000</v>
          </cell>
          <cell r="ID344">
            <v>1000</v>
          </cell>
          <cell r="IF344">
            <v>1000</v>
          </cell>
        </row>
        <row r="345">
          <cell r="GP345" t="str">
            <v>DCS - 4x0 7FA</v>
          </cell>
          <cell r="GQ345">
            <v>1000</v>
          </cell>
          <cell r="GS345">
            <v>1000</v>
          </cell>
          <cell r="GT345">
            <v>1000</v>
          </cell>
          <cell r="GV345">
            <v>1000</v>
          </cell>
          <cell r="GW345">
            <v>1000</v>
          </cell>
          <cell r="GY345">
            <v>1000</v>
          </cell>
          <cell r="GZ345">
            <v>1000</v>
          </cell>
          <cell r="HB345">
            <v>1000</v>
          </cell>
          <cell r="HC345">
            <v>1000</v>
          </cell>
          <cell r="HE345">
            <v>1000</v>
          </cell>
          <cell r="HF345">
            <v>1000</v>
          </cell>
          <cell r="HH345">
            <v>1000</v>
          </cell>
          <cell r="HI345">
            <v>1000</v>
          </cell>
          <cell r="HK345">
            <v>1000</v>
          </cell>
          <cell r="HL345">
            <v>1000</v>
          </cell>
          <cell r="HN345">
            <v>1000</v>
          </cell>
          <cell r="HO345">
            <v>1000</v>
          </cell>
          <cell r="HQ345">
            <v>1000</v>
          </cell>
          <cell r="HR345">
            <v>1000</v>
          </cell>
          <cell r="HT345">
            <v>1000</v>
          </cell>
          <cell r="HU345">
            <v>1000</v>
          </cell>
          <cell r="HW345">
            <v>1000</v>
          </cell>
          <cell r="HX345">
            <v>1000</v>
          </cell>
          <cell r="HZ345">
            <v>1000</v>
          </cell>
          <cell r="IA345">
            <v>1000</v>
          </cell>
          <cell r="IC345">
            <v>1000</v>
          </cell>
          <cell r="ID345">
            <v>1000</v>
          </cell>
          <cell r="IF345">
            <v>1000</v>
          </cell>
        </row>
        <row r="346">
          <cell r="GP346" t="str">
            <v>DCS - 2x0 7FA</v>
          </cell>
          <cell r="GQ346">
            <v>1000</v>
          </cell>
          <cell r="GS346">
            <v>1000</v>
          </cell>
          <cell r="GT346">
            <v>1000</v>
          </cell>
          <cell r="GV346">
            <v>1000</v>
          </cell>
          <cell r="GW346">
            <v>1000</v>
          </cell>
          <cell r="GY346">
            <v>1000</v>
          </cell>
          <cell r="GZ346">
            <v>1000</v>
          </cell>
          <cell r="HB346">
            <v>1000</v>
          </cell>
          <cell r="HC346">
            <v>1000</v>
          </cell>
          <cell r="HE346">
            <v>1000</v>
          </cell>
          <cell r="HF346">
            <v>1000</v>
          </cell>
          <cell r="HH346">
            <v>1000</v>
          </cell>
          <cell r="HI346">
            <v>1000</v>
          </cell>
          <cell r="HK346">
            <v>1000</v>
          </cell>
          <cell r="HL346">
            <v>1000</v>
          </cell>
          <cell r="HN346">
            <v>1000</v>
          </cell>
          <cell r="HO346">
            <v>1000</v>
          </cell>
          <cell r="HQ346">
            <v>1000</v>
          </cell>
          <cell r="HR346">
            <v>1000</v>
          </cell>
          <cell r="HT346">
            <v>1000</v>
          </cell>
          <cell r="HU346">
            <v>1000</v>
          </cell>
          <cell r="HW346">
            <v>1000</v>
          </cell>
          <cell r="HX346">
            <v>1000</v>
          </cell>
          <cell r="HZ346">
            <v>1000</v>
          </cell>
          <cell r="IA346">
            <v>1000</v>
          </cell>
          <cell r="IC346">
            <v>1000</v>
          </cell>
          <cell r="ID346">
            <v>1000</v>
          </cell>
          <cell r="IF346">
            <v>1000</v>
          </cell>
        </row>
        <row r="347">
          <cell r="GP347" t="str">
            <v>DCS - 3x0 7FA</v>
          </cell>
          <cell r="GQ347">
            <v>1000</v>
          </cell>
          <cell r="GS347">
            <v>1000</v>
          </cell>
          <cell r="GT347">
            <v>1000</v>
          </cell>
          <cell r="GV347">
            <v>1000</v>
          </cell>
          <cell r="GW347">
            <v>1000</v>
          </cell>
          <cell r="GY347">
            <v>1000</v>
          </cell>
          <cell r="GZ347">
            <v>1000</v>
          </cell>
          <cell r="HB347">
            <v>1000</v>
          </cell>
          <cell r="HC347">
            <v>1000</v>
          </cell>
          <cell r="HE347">
            <v>1000</v>
          </cell>
          <cell r="HF347">
            <v>1000</v>
          </cell>
          <cell r="HH347">
            <v>1000</v>
          </cell>
          <cell r="HI347">
            <v>1000</v>
          </cell>
          <cell r="HK347">
            <v>1000</v>
          </cell>
          <cell r="HL347">
            <v>1000</v>
          </cell>
          <cell r="HN347">
            <v>1000</v>
          </cell>
          <cell r="HO347">
            <v>1000</v>
          </cell>
          <cell r="HQ347">
            <v>1000</v>
          </cell>
          <cell r="HR347">
            <v>1000</v>
          </cell>
          <cell r="HT347">
            <v>1000</v>
          </cell>
          <cell r="HU347">
            <v>1000</v>
          </cell>
          <cell r="HW347">
            <v>1000</v>
          </cell>
          <cell r="HX347">
            <v>1000</v>
          </cell>
          <cell r="HZ347">
            <v>1000</v>
          </cell>
          <cell r="IA347">
            <v>1000</v>
          </cell>
          <cell r="IC347">
            <v>1000</v>
          </cell>
          <cell r="ID347">
            <v>1000</v>
          </cell>
          <cell r="IF347">
            <v>1000</v>
          </cell>
        </row>
        <row r="348">
          <cell r="GP348" t="str">
            <v>DCS - LMS100 - (5)</v>
          </cell>
          <cell r="GQ348">
            <v>2000</v>
          </cell>
          <cell r="GS348">
            <v>2000</v>
          </cell>
          <cell r="GT348">
            <v>2000</v>
          </cell>
          <cell r="GV348">
            <v>2000</v>
          </cell>
          <cell r="GW348">
            <v>2000</v>
          </cell>
          <cell r="GY348">
            <v>2000</v>
          </cell>
          <cell r="GZ348">
            <v>2000</v>
          </cell>
          <cell r="HB348">
            <v>2000</v>
          </cell>
          <cell r="HC348">
            <v>2000</v>
          </cell>
          <cell r="HE348">
            <v>2000</v>
          </cell>
          <cell r="HF348">
            <v>2000</v>
          </cell>
          <cell r="HH348">
            <v>2000</v>
          </cell>
          <cell r="HI348">
            <v>2000</v>
          </cell>
          <cell r="HK348">
            <v>2000</v>
          </cell>
          <cell r="HL348">
            <v>2000</v>
          </cell>
          <cell r="HN348">
            <v>2000</v>
          </cell>
          <cell r="HO348">
            <v>2000</v>
          </cell>
          <cell r="HQ348">
            <v>2000</v>
          </cell>
          <cell r="HR348">
            <v>2000</v>
          </cell>
          <cell r="HT348">
            <v>2000</v>
          </cell>
          <cell r="HU348">
            <v>2000</v>
          </cell>
          <cell r="HW348">
            <v>2000</v>
          </cell>
          <cell r="HX348">
            <v>2000</v>
          </cell>
          <cell r="HZ348">
            <v>2000</v>
          </cell>
          <cell r="IA348">
            <v>2000</v>
          </cell>
          <cell r="IC348">
            <v>2000</v>
          </cell>
          <cell r="ID348">
            <v>2000</v>
          </cell>
          <cell r="IF348">
            <v>2000</v>
          </cell>
        </row>
        <row r="349">
          <cell r="GP349" t="str">
            <v>DCS - LMS100 Upgrade Existing</v>
          </cell>
          <cell r="GS349">
            <v>0</v>
          </cell>
          <cell r="GV349">
            <v>0</v>
          </cell>
          <cell r="GY349">
            <v>0</v>
          </cell>
          <cell r="HB349">
            <v>0</v>
          </cell>
          <cell r="HE349">
            <v>0</v>
          </cell>
          <cell r="HH349">
            <v>0</v>
          </cell>
          <cell r="HK349">
            <v>0</v>
          </cell>
          <cell r="HN349">
            <v>0</v>
          </cell>
          <cell r="HQ349">
            <v>0</v>
          </cell>
          <cell r="HT349">
            <v>0</v>
          </cell>
          <cell r="HW349">
            <v>0</v>
          </cell>
          <cell r="HZ349">
            <v>0</v>
          </cell>
          <cell r="IC349">
            <v>0</v>
          </cell>
          <cell r="IF349">
            <v>0</v>
          </cell>
        </row>
        <row r="350">
          <cell r="GP350" t="str">
            <v xml:space="preserve">DCS - 1x1 F </v>
          </cell>
          <cell r="GQ350">
            <v>2000</v>
          </cell>
          <cell r="GS350">
            <v>2000</v>
          </cell>
          <cell r="GT350">
            <v>2000</v>
          </cell>
          <cell r="GV350">
            <v>2000</v>
          </cell>
          <cell r="GW350">
            <v>2000</v>
          </cell>
          <cell r="GY350">
            <v>2000</v>
          </cell>
          <cell r="GZ350">
            <v>2000</v>
          </cell>
          <cell r="HB350">
            <v>2000</v>
          </cell>
          <cell r="HC350">
            <v>2000</v>
          </cell>
          <cell r="HE350">
            <v>2000</v>
          </cell>
          <cell r="HF350">
            <v>2000</v>
          </cell>
          <cell r="HH350">
            <v>2000</v>
          </cell>
          <cell r="HI350">
            <v>2000</v>
          </cell>
          <cell r="HK350">
            <v>2000</v>
          </cell>
          <cell r="HL350">
            <v>2000</v>
          </cell>
          <cell r="HN350">
            <v>2000</v>
          </cell>
          <cell r="HO350">
            <v>2000</v>
          </cell>
          <cell r="HQ350">
            <v>2000</v>
          </cell>
          <cell r="HR350">
            <v>2000</v>
          </cell>
          <cell r="HT350">
            <v>2000</v>
          </cell>
          <cell r="HU350">
            <v>2000</v>
          </cell>
          <cell r="HW350">
            <v>2000</v>
          </cell>
          <cell r="HX350">
            <v>2000</v>
          </cell>
          <cell r="HZ350">
            <v>2000</v>
          </cell>
          <cell r="IA350">
            <v>2000</v>
          </cell>
          <cell r="IC350">
            <v>2000</v>
          </cell>
          <cell r="ID350">
            <v>2000</v>
          </cell>
          <cell r="IF350">
            <v>2000</v>
          </cell>
        </row>
      </sheetData>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8" Type="http://schemas.openxmlformats.org/officeDocument/2006/relationships/hyperlink" Target="http://data.bls.gov/cgi-bin/dsrv?en" TargetMode="External"/><Relationship Id="rId3" Type="http://schemas.openxmlformats.org/officeDocument/2006/relationships/hyperlink" Target="http://data.bls.gov/cgi-bin/dsrv?pc" TargetMode="External"/><Relationship Id="rId7" Type="http://schemas.openxmlformats.org/officeDocument/2006/relationships/hyperlink" Target="http://data.bls.gov/cgi-bin/dsrv?wp" TargetMode="External"/><Relationship Id="rId2" Type="http://schemas.openxmlformats.org/officeDocument/2006/relationships/hyperlink" Target="http://data.bls.gov/cgi-bin/dsrv" TargetMode="External"/><Relationship Id="rId1" Type="http://schemas.openxmlformats.org/officeDocument/2006/relationships/hyperlink" Target="http://data.bls.gov/cgi-bin/dsrv?wp" TargetMode="External"/><Relationship Id="rId6" Type="http://schemas.openxmlformats.org/officeDocument/2006/relationships/hyperlink" Target="http://data.bls.gov/cgi-bin/dsrv?pc" TargetMode="External"/><Relationship Id="rId5" Type="http://schemas.openxmlformats.org/officeDocument/2006/relationships/hyperlink" Target="http://research.stlouisfed.org/fred2/graph/?s%5b1%5d%5bid%5d=GDPDEF" TargetMode="External"/><Relationship Id="rId10" Type="http://schemas.openxmlformats.org/officeDocument/2006/relationships/hyperlink" Target="http://data.bls.gov/cgi-bin/dsrv?en" TargetMode="External"/><Relationship Id="rId4" Type="http://schemas.openxmlformats.org/officeDocument/2006/relationships/hyperlink" Target="http://data.bls.gov/cgi-bin/dsrv?en" TargetMode="External"/><Relationship Id="rId9" Type="http://schemas.openxmlformats.org/officeDocument/2006/relationships/hyperlink" Target="http://data.bls.gov/cgi-bin/dsrv?en"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3" Type="http://schemas.openxmlformats.org/officeDocument/2006/relationships/hyperlink" Target="../../../../../../../../Erik%20James/Downloads/State%20Program%20Data/NH%20-%202011-2012%20CORE%20Joint%20Electric%20Program%20Proposal%202010-08-03.pdf" TargetMode="External"/><Relationship Id="rId7" Type="http://schemas.openxmlformats.org/officeDocument/2006/relationships/printerSettings" Target="../printerSettings/printerSettings22.bin"/><Relationship Id="rId2" Type="http://schemas.openxmlformats.org/officeDocument/2006/relationships/hyperlink" Target="../../../../../../../../Erik%20James/Downloads/State%20Program%20Data/NH%20-%202011-2012%20CORE%20Joint%20Electric%20Program%20Proposal%202010-08-03.pdf" TargetMode="External"/><Relationship Id="rId1" Type="http://schemas.openxmlformats.org/officeDocument/2006/relationships/hyperlink" Target="../../../../../../../../Erik%20James/Downloads/State%20Program%20Data/NH%20-%202011-2012%20CORE%20Joint%20Electric%20Program%20Proposal%202010-08-03.pdf" TargetMode="External"/><Relationship Id="rId6" Type="http://schemas.openxmlformats.org/officeDocument/2006/relationships/hyperlink" Target="../../../../../../../../Erik%20James/Downloads/State%20Program%20Data/NH%20-%202011-2012%20CORE%20Joint%20Electric%20Program%20Proposal%202010-08-03.pdf" TargetMode="External"/><Relationship Id="rId5" Type="http://schemas.openxmlformats.org/officeDocument/2006/relationships/hyperlink" Target="../../../../../../../../Erik%20James/Downloads/State%20Program%20Data/NH%20-%202011-2012%20CORE%20Joint%20Electric%20Program%20Proposal%202010-08-03.pdf" TargetMode="External"/><Relationship Id="rId4" Type="http://schemas.openxmlformats.org/officeDocument/2006/relationships/hyperlink" Target="../../../../../../../../Erik%20James/Downloads/State%20Program%20Data/NH%20-%202011-2012%20CORE%20Joint%20Electric%20Program%20Proposal%202010-08-03.pdf"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Erik%20James/Downloads/State%20Program%20Data/ME%20-%202012-Annual-Report.pdf" TargetMode="External"/><Relationship Id="rId1" Type="http://schemas.openxmlformats.org/officeDocument/2006/relationships/hyperlink" Target="../../../../../../../../Erik%20James/Downloads/State%20Program%20Data/ME%20-%202012-Annual-Report.pdf"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Erik%20James/Downloads/State%20Program%20Data/CT%20-%202012%20CLM%20Electric%20and%20Gas%20Plan%20FINAL.pdf"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35">
    <tabColor theme="6"/>
  </sheetPr>
  <dimension ref="A1:Q50"/>
  <sheetViews>
    <sheetView showGridLines="0" topLeftCell="B1" zoomScaleNormal="100" workbookViewId="0">
      <selection activeCell="L38" sqref="L38"/>
    </sheetView>
  </sheetViews>
  <sheetFormatPr defaultRowHeight="12.75" outlineLevelRow="1" outlineLevelCol="1"/>
  <cols>
    <col min="1" max="1" width="9.140625" style="1168" hidden="1" customWidth="1" outlineLevel="1"/>
    <col min="2" max="2" width="9.85546875" style="459" bestFit="1" customWidth="1" collapsed="1"/>
    <col min="3" max="3" width="7.42578125" style="273" customWidth="1"/>
    <col min="4" max="4" width="17" style="273" customWidth="1"/>
    <col min="5" max="5" width="10.5703125" style="273" bestFit="1" customWidth="1"/>
    <col min="6" max="6" width="8.85546875" style="273" customWidth="1"/>
    <col min="7" max="7" width="10.140625" style="273" customWidth="1"/>
    <col min="8" max="8" width="9" style="273" bestFit="1" customWidth="1"/>
    <col min="9" max="9" width="8.5703125" style="273" customWidth="1"/>
    <col min="10" max="12" width="9.85546875" style="273" bestFit="1" customWidth="1"/>
    <col min="13" max="13" width="9.85546875" style="273" customWidth="1"/>
    <col min="14" max="14" width="9.85546875" style="273" bestFit="1" customWidth="1"/>
    <col min="15" max="15" width="12.28515625" style="273" bestFit="1" customWidth="1"/>
    <col min="16" max="16" width="12.28515625" style="273" hidden="1" customWidth="1" outlineLevel="1"/>
    <col min="17" max="17" width="9.140625" style="273" collapsed="1"/>
    <col min="18" max="19" width="9.140625" style="273"/>
    <col min="20" max="20" width="20.7109375" style="273" bestFit="1" customWidth="1"/>
    <col min="21" max="21" width="8.42578125" style="273" bestFit="1" customWidth="1"/>
    <col min="22" max="22" width="6" style="273" bestFit="1" customWidth="1"/>
    <col min="23" max="16384" width="9.140625" style="273"/>
  </cols>
  <sheetData>
    <row r="1" spans="1:17">
      <c r="B1" s="278" t="s">
        <v>91</v>
      </c>
      <c r="C1" s="126" t="s">
        <v>961</v>
      </c>
    </row>
    <row r="2" spans="1:17">
      <c r="B2" s="278" t="s">
        <v>92</v>
      </c>
      <c r="C2" s="140" t="s">
        <v>113</v>
      </c>
    </row>
    <row r="3" spans="1:17">
      <c r="B3" s="278" t="s">
        <v>114</v>
      </c>
      <c r="C3" s="95" t="s">
        <v>119</v>
      </c>
    </row>
    <row r="4" spans="1:17">
      <c r="B4" s="102"/>
      <c r="C4" s="95"/>
    </row>
    <row r="5" spans="1:17" s="455" customFormat="1" hidden="1" outlineLevel="1">
      <c r="A5" s="1168"/>
      <c r="B5" s="280"/>
      <c r="C5" s="454"/>
      <c r="D5" s="476" t="str">
        <f>Technology</f>
        <v>Wind</v>
      </c>
      <c r="E5" s="471">
        <f>ROUND('CONE Calcs'!D15,0)</f>
        <v>196</v>
      </c>
      <c r="F5" s="471">
        <f>ROUND('CONE Calcs'!Plant_Capacity,1)</f>
        <v>59.9</v>
      </c>
      <c r="G5" s="471">
        <f>ROUND('CONE Calcs'!Plant_Capacity*'CONE Calcs'!D12,1)</f>
        <v>15</v>
      </c>
      <c r="H5" s="472">
        <f>ROUND('CONE Calcs'!D20,0)</f>
        <v>3063</v>
      </c>
      <c r="I5" s="473">
        <f>ROUND('CONE Calcs'!ATWACC,3)</f>
        <v>7.1999999999999995E-2</v>
      </c>
      <c r="J5" s="474">
        <f>ROUND('CONE Calcs'!D22/12,2)</f>
        <v>6.62</v>
      </c>
      <c r="K5" s="474">
        <f>ROUND('CONE Calcs'!G67,2)</f>
        <v>23.89</v>
      </c>
      <c r="L5" s="474">
        <f>ROUND('CONE Calcs'!G73,2)</f>
        <v>27.53</v>
      </c>
      <c r="M5" s="474">
        <f>'CONE Calcs'!G75</f>
        <v>-3.636570486898556</v>
      </c>
      <c r="N5" s="474">
        <f>ROUND('CONE Calcs'!G76,2)</f>
        <v>-14.55</v>
      </c>
      <c r="O5" s="475">
        <f>'CONE Calcs'!I76</f>
        <v>0</v>
      </c>
      <c r="Q5" s="1172"/>
    </row>
    <row r="6" spans="1:17" collapsed="1">
      <c r="B6" s="102"/>
      <c r="C6" s="95"/>
    </row>
    <row r="7" spans="1:17" ht="18.75">
      <c r="D7" s="309" t="str">
        <f>"Summary of "&amp;INDEX('Annual Updates Calcs'!$D$9:$D$11,MATCH('CONE Calcs'!$D7,'Annual Updates Calcs'!$C$9:$C$11,0),1)&amp;" ORTPs ("&amp;INDEX('Annual Updates Calcs'!$E$9:$E$11,MATCH('CONE Calcs'!$D7,'Annual Updates Calcs'!$C$9:$C$11,0),1)&amp;"$)"</f>
        <v>Summary of 2018/19 ORTPs (2018$)</v>
      </c>
      <c r="E7" s="310"/>
      <c r="F7" s="310"/>
      <c r="G7" s="310"/>
      <c r="H7" s="310"/>
      <c r="I7" s="310"/>
      <c r="J7" s="310"/>
      <c r="K7" s="310"/>
      <c r="L7" s="310"/>
      <c r="M7" s="310"/>
      <c r="N7" s="310"/>
      <c r="O7" s="310"/>
    </row>
    <row r="8" spans="1:17" ht="6" customHeight="1" thickBot="1">
      <c r="D8" s="277"/>
      <c r="E8" s="277"/>
      <c r="F8" s="277"/>
      <c r="G8" s="277"/>
      <c r="H8" s="277"/>
      <c r="I8" s="277"/>
      <c r="J8" s="277"/>
      <c r="K8" s="277"/>
      <c r="L8" s="277"/>
      <c r="M8" s="277"/>
      <c r="N8" s="277"/>
      <c r="O8" s="277"/>
      <c r="P8" s="277"/>
    </row>
    <row r="9" spans="1:17" ht="6" customHeight="1" thickTop="1"/>
    <row r="10" spans="1:17" s="284" customFormat="1">
      <c r="A10" s="1169"/>
      <c r="D10" s="285" t="s">
        <v>356</v>
      </c>
      <c r="E10" s="284" t="s">
        <v>207</v>
      </c>
      <c r="F10" s="284" t="s">
        <v>209</v>
      </c>
      <c r="G10" s="458" t="s">
        <v>900</v>
      </c>
      <c r="H10" s="284" t="s">
        <v>354</v>
      </c>
      <c r="I10" s="284" t="s">
        <v>211</v>
      </c>
      <c r="J10" s="284" t="s">
        <v>210</v>
      </c>
      <c r="K10" s="284" t="s">
        <v>337</v>
      </c>
      <c r="L10" s="284" t="s">
        <v>214</v>
      </c>
      <c r="M10" s="284" t="s">
        <v>348</v>
      </c>
      <c r="N10" s="284" t="s">
        <v>348</v>
      </c>
      <c r="O10" s="284" t="str">
        <f>INDEX('Annual Updates Calcs'!$D$9:$D$11,MATCH('CONE Calcs'!$D7,'Annual Updates Calcs'!$C$9:$C$11,0),1)</f>
        <v>2018/19</v>
      </c>
      <c r="P10" s="284" t="s">
        <v>419</v>
      </c>
    </row>
    <row r="11" spans="1:17" s="284" customFormat="1" ht="12.75" customHeight="1">
      <c r="A11" s="1169"/>
      <c r="D11" s="1268" t="s">
        <v>80</v>
      </c>
      <c r="E11" s="1267" t="s">
        <v>208</v>
      </c>
      <c r="F11" s="1267" t="s">
        <v>906</v>
      </c>
      <c r="G11" s="1267" t="s">
        <v>353</v>
      </c>
      <c r="H11" s="1267" t="s">
        <v>907</v>
      </c>
      <c r="I11" s="1267" t="s">
        <v>212</v>
      </c>
      <c r="J11" s="1267" t="s">
        <v>908</v>
      </c>
      <c r="K11" s="1267" t="s">
        <v>338</v>
      </c>
      <c r="L11" s="1267" t="s">
        <v>909</v>
      </c>
      <c r="M11" s="1267" t="s">
        <v>338</v>
      </c>
      <c r="N11" s="1267" t="s">
        <v>338</v>
      </c>
      <c r="O11" s="1267" t="s">
        <v>901</v>
      </c>
      <c r="P11" s="1267" t="s">
        <v>902</v>
      </c>
    </row>
    <row r="12" spans="1:17" s="274" customFormat="1">
      <c r="A12" s="1170"/>
      <c r="D12" s="488"/>
      <c r="E12" s="275" t="s">
        <v>46</v>
      </c>
      <c r="F12" s="275" t="s">
        <v>84</v>
      </c>
      <c r="G12" s="275" t="s">
        <v>84</v>
      </c>
      <c r="H12" s="275" t="s">
        <v>85</v>
      </c>
      <c r="I12" s="275" t="s">
        <v>76</v>
      </c>
      <c r="J12" s="275" t="s">
        <v>215</v>
      </c>
      <c r="K12" s="275" t="s">
        <v>215</v>
      </c>
      <c r="L12" s="275" t="s">
        <v>215</v>
      </c>
      <c r="M12" s="275" t="s">
        <v>215</v>
      </c>
      <c r="N12" s="275" t="s">
        <v>215</v>
      </c>
      <c r="O12" s="275" t="s">
        <v>215</v>
      </c>
      <c r="P12" s="275" t="s">
        <v>215</v>
      </c>
    </row>
    <row r="13" spans="1:17" s="274" customFormat="1" ht="14.25">
      <c r="A13" s="1170"/>
      <c r="D13" s="457" t="s">
        <v>905</v>
      </c>
      <c r="E13" s="275"/>
      <c r="F13" s="275"/>
      <c r="G13" s="275"/>
      <c r="H13" s="275" t="s">
        <v>209</v>
      </c>
      <c r="I13" s="275"/>
      <c r="J13" s="275" t="s">
        <v>209</v>
      </c>
      <c r="K13" s="275" t="s">
        <v>209</v>
      </c>
      <c r="L13" s="275" t="s">
        <v>209</v>
      </c>
      <c r="M13" s="275" t="s">
        <v>209</v>
      </c>
      <c r="N13" s="275" t="s">
        <v>900</v>
      </c>
      <c r="O13" s="275" t="s">
        <v>900</v>
      </c>
      <c r="P13" s="275" t="s">
        <v>900</v>
      </c>
    </row>
    <row r="14" spans="1:17" ht="6" customHeight="1">
      <c r="D14" s="276"/>
      <c r="E14" s="276"/>
      <c r="F14" s="276"/>
      <c r="G14" s="276"/>
      <c r="H14" s="276"/>
      <c r="I14" s="276"/>
      <c r="J14" s="276"/>
      <c r="K14" s="276"/>
      <c r="L14" s="276"/>
      <c r="M14" s="276"/>
      <c r="N14" s="276"/>
      <c r="O14" s="276"/>
      <c r="P14" s="276"/>
    </row>
    <row r="15" spans="1:17" ht="6" customHeight="1"/>
    <row r="16" spans="1:17" ht="15" customHeight="1">
      <c r="A16" s="1171">
        <v>1</v>
      </c>
      <c r="D16" s="272" t="s">
        <v>163</v>
      </c>
      <c r="E16" s="469">
        <v>318</v>
      </c>
      <c r="F16" s="468">
        <v>192.3</v>
      </c>
      <c r="G16" s="468">
        <v>192.3</v>
      </c>
      <c r="H16" s="469">
        <v>1583</v>
      </c>
      <c r="I16" s="467">
        <v>7.1999999999999995E-2</v>
      </c>
      <c r="J16" s="610">
        <v>2.65</v>
      </c>
      <c r="K16" s="610">
        <v>16.13</v>
      </c>
      <c r="L16" s="610">
        <v>2.71</v>
      </c>
      <c r="M16" s="610">
        <v>13.423514226683757</v>
      </c>
      <c r="N16" s="610">
        <v>13.42</v>
      </c>
      <c r="O16" s="1202">
        <v>13.423514226683757</v>
      </c>
      <c r="P16" s="1207">
        <v>13.26</v>
      </c>
    </row>
    <row r="17" spans="1:17" s="286" customFormat="1" ht="15" customHeight="1">
      <c r="A17" s="1171">
        <v>0</v>
      </c>
      <c r="D17" s="272" t="s">
        <v>352</v>
      </c>
      <c r="E17" s="469">
        <v>878</v>
      </c>
      <c r="F17" s="468">
        <v>729.6</v>
      </c>
      <c r="G17" s="468">
        <v>729.6</v>
      </c>
      <c r="H17" s="469">
        <v>1108</v>
      </c>
      <c r="I17" s="467">
        <v>7.1999999999999995E-2</v>
      </c>
      <c r="J17" s="610">
        <v>2.33</v>
      </c>
      <c r="K17" s="610">
        <v>12.61</v>
      </c>
      <c r="L17" s="610">
        <v>3.75</v>
      </c>
      <c r="M17" s="610">
        <v>8.8661663287820627</v>
      </c>
      <c r="N17" s="610">
        <v>8.8699999999999992</v>
      </c>
      <c r="O17" s="1202">
        <v>8.8661663287820627</v>
      </c>
      <c r="P17" s="1207">
        <v>8.75</v>
      </c>
      <c r="Q17" s="273"/>
    </row>
    <row r="18" spans="1:17" ht="15" customHeight="1">
      <c r="A18" s="1171">
        <v>1</v>
      </c>
      <c r="D18" s="272" t="s">
        <v>347</v>
      </c>
      <c r="E18" s="469">
        <v>196</v>
      </c>
      <c r="F18" s="468">
        <v>59.9</v>
      </c>
      <c r="G18" s="468">
        <v>15</v>
      </c>
      <c r="H18" s="469">
        <v>3063</v>
      </c>
      <c r="I18" s="467">
        <v>7.1999999999999995E-2</v>
      </c>
      <c r="J18" s="610">
        <v>6.62</v>
      </c>
      <c r="K18" s="610">
        <v>23.89</v>
      </c>
      <c r="L18" s="610">
        <v>27.53</v>
      </c>
      <c r="M18" s="610">
        <v>-3.6365704868985773</v>
      </c>
      <c r="N18" s="610" t="s">
        <v>962</v>
      </c>
      <c r="O18" s="1202">
        <v>0</v>
      </c>
      <c r="P18" s="1207">
        <v>9.8699999999999992</v>
      </c>
    </row>
    <row r="19" spans="1:17" ht="15.75">
      <c r="A19" s="1171">
        <v>0</v>
      </c>
      <c r="D19" s="272" t="s">
        <v>910</v>
      </c>
      <c r="E19" s="469">
        <v>16</v>
      </c>
      <c r="F19" s="545">
        <v>6</v>
      </c>
      <c r="G19" s="545">
        <v>0.9</v>
      </c>
      <c r="H19" s="469">
        <v>2593</v>
      </c>
      <c r="I19" s="467">
        <v>7.1999999999999995E-2</v>
      </c>
      <c r="J19" s="610">
        <v>4.47</v>
      </c>
      <c r="K19" s="610">
        <v>16.77</v>
      </c>
      <c r="L19" s="610">
        <v>11.27</v>
      </c>
      <c r="M19" s="610">
        <v>5.503288702450174</v>
      </c>
      <c r="N19" s="610">
        <v>36.69</v>
      </c>
      <c r="O19" s="1269" t="s">
        <v>963</v>
      </c>
      <c r="P19" s="1208" t="s">
        <v>152</v>
      </c>
    </row>
    <row r="20" spans="1:17" ht="15" customHeight="1">
      <c r="A20" s="1171">
        <v>1</v>
      </c>
      <c r="D20" s="272" t="s">
        <v>349</v>
      </c>
      <c r="E20" s="468" t="s">
        <v>355</v>
      </c>
      <c r="F20" s="545">
        <f>'EE ORTP Calc'!D7</f>
        <v>1</v>
      </c>
      <c r="G20" s="545">
        <f>'EE ORTP Calc'!D8</f>
        <v>1</v>
      </c>
      <c r="H20" s="469">
        <f ca="1">'EE ORTP Calc'!D9</f>
        <v>2570.9748032400275</v>
      </c>
      <c r="I20" s="467">
        <v>7.1861096999999999E-2</v>
      </c>
      <c r="J20" s="610">
        <f>'EE ORTP Calc'!D18</f>
        <v>0</v>
      </c>
      <c r="K20" s="610">
        <f ca="1">'EE ORTP Calc'!D16</f>
        <v>24.394054455635921</v>
      </c>
      <c r="L20" s="610">
        <f>'EE ORTP Calc'!$D$20</f>
        <v>25.365579607376649</v>
      </c>
      <c r="M20" s="610">
        <f ca="1">'EE ORTP Calc'!$D$24</f>
        <v>-0.97152515174072818</v>
      </c>
      <c r="N20" s="610">
        <f ca="1">'EE ORTP Calc'!$D$24</f>
        <v>-0.97152515174072818</v>
      </c>
      <c r="O20" s="1202">
        <f ca="1">'EE ORTP Calc'!D27</f>
        <v>0</v>
      </c>
      <c r="P20" s="1207">
        <v>0</v>
      </c>
    </row>
    <row r="21" spans="1:17" ht="15" customHeight="1">
      <c r="A21" s="1171">
        <v>0</v>
      </c>
      <c r="D21" s="272" t="s">
        <v>350</v>
      </c>
      <c r="E21" s="468" t="s">
        <v>355</v>
      </c>
      <c r="F21" s="545">
        <v>0.5</v>
      </c>
      <c r="G21" s="545">
        <v>0.5</v>
      </c>
      <c r="H21" s="468" t="s">
        <v>355</v>
      </c>
      <c r="I21" s="467">
        <v>7.1861096999999999E-2</v>
      </c>
      <c r="J21" s="468" t="s">
        <v>355</v>
      </c>
      <c r="K21" s="610">
        <f>N21</f>
        <v>1.1452003392063479</v>
      </c>
      <c r="L21" s="610">
        <v>0</v>
      </c>
      <c r="M21" s="610">
        <f>'Large C&amp;I'!$D$28</f>
        <v>1.1452003392063479</v>
      </c>
      <c r="N21" s="610">
        <f>'Large C&amp;I'!$D$28</f>
        <v>1.1452003392063479</v>
      </c>
      <c r="O21" s="1202">
        <f>'Large C&amp;I'!D28</f>
        <v>1.1452003392063479</v>
      </c>
      <c r="P21" s="1207">
        <v>1.1499999999999999</v>
      </c>
    </row>
    <row r="22" spans="1:17" ht="15" customHeight="1">
      <c r="A22" s="1171">
        <v>1</v>
      </c>
      <c r="D22" s="272" t="s">
        <v>351</v>
      </c>
      <c r="E22" s="468" t="s">
        <v>355</v>
      </c>
      <c r="F22" s="609">
        <v>1E-3</v>
      </c>
      <c r="G22" s="609">
        <v>1E-3</v>
      </c>
      <c r="H22" s="468" t="s">
        <v>355</v>
      </c>
      <c r="I22" s="467">
        <v>7.1861096999999999E-2</v>
      </c>
      <c r="J22" s="468" t="s">
        <v>355</v>
      </c>
      <c r="K22" s="610">
        <f>N22</f>
        <v>7.0937165707720089</v>
      </c>
      <c r="L22" s="610">
        <v>0</v>
      </c>
      <c r="M22" s="610">
        <f>'Mass Market'!$D$31</f>
        <v>7.0937165707720089</v>
      </c>
      <c r="N22" s="610">
        <f>'Mass Market'!$D$31</f>
        <v>7.0937165707720089</v>
      </c>
      <c r="O22" s="1202">
        <f>'Mass Market'!D31</f>
        <v>7.0937165707720089</v>
      </c>
      <c r="P22" s="1207">
        <v>7.09</v>
      </c>
    </row>
    <row r="23" spans="1:17" ht="6" customHeight="1" thickBot="1">
      <c r="D23" s="277"/>
      <c r="E23" s="277"/>
      <c r="F23" s="277"/>
      <c r="G23" s="277"/>
      <c r="H23" s="277"/>
      <c r="I23" s="277"/>
      <c r="J23" s="277"/>
      <c r="K23" s="277"/>
      <c r="L23" s="277"/>
      <c r="M23" s="277"/>
      <c r="N23" s="277"/>
      <c r="O23" s="277"/>
      <c r="P23" s="277"/>
    </row>
    <row r="24" spans="1:17" ht="6" customHeight="1" thickTop="1"/>
    <row r="25" spans="1:17" ht="12.75" customHeight="1">
      <c r="D25" s="273" t="s">
        <v>964</v>
      </c>
    </row>
    <row r="26" spans="1:17" ht="12.75" customHeight="1">
      <c r="D26" s="312"/>
    </row>
    <row r="27" spans="1:17" ht="12.75" customHeight="1">
      <c r="D27" s="312"/>
    </row>
    <row r="28" spans="1:17" ht="12.75" customHeight="1">
      <c r="D28" s="312"/>
    </row>
    <row r="29" spans="1:17" ht="12.75" customHeight="1"/>
    <row r="30" spans="1:17" ht="6" customHeight="1">
      <c r="D30" s="311"/>
      <c r="O30" s="287"/>
    </row>
    <row r="31" spans="1:17" ht="6" customHeight="1">
      <c r="D31" s="312"/>
      <c r="O31" s="287"/>
    </row>
    <row r="32" spans="1:17">
      <c r="D32" s="312"/>
      <c r="O32" s="287"/>
    </row>
    <row r="33" spans="4:15">
      <c r="D33" s="312"/>
    </row>
    <row r="36" spans="4:15" ht="6" customHeight="1"/>
    <row r="37" spans="4:15" ht="6" customHeight="1"/>
    <row r="38" spans="4:15">
      <c r="O38" s="456"/>
    </row>
    <row r="46" spans="4:15" ht="6" customHeight="1"/>
    <row r="47" spans="4:15" ht="6" customHeight="1"/>
    <row r="49" ht="6" customHeight="1"/>
    <row r="50" ht="6" customHeight="1"/>
  </sheetData>
  <conditionalFormatting sqref="D16:O22">
    <cfRule type="expression" dxfId="29" priority="33">
      <formula>$A16=1</formula>
    </cfRule>
  </conditionalFormatting>
  <conditionalFormatting sqref="P16:P22">
    <cfRule type="expression" dxfId="28" priority="1">
      <formula>$A16=1</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tabColor theme="5"/>
    <pageSetUpPr fitToPage="1"/>
  </sheetPr>
  <dimension ref="A1:CW99"/>
  <sheetViews>
    <sheetView topLeftCell="H3" zoomScaleNormal="100" workbookViewId="0">
      <selection activeCell="N40" sqref="N40"/>
    </sheetView>
  </sheetViews>
  <sheetFormatPr defaultRowHeight="12.75" outlineLevelRow="1" outlineLevelCol="1"/>
  <cols>
    <col min="1" max="1" width="9.85546875" style="195" bestFit="1" customWidth="1"/>
    <col min="2" max="2" width="20.140625" style="195" customWidth="1"/>
    <col min="3" max="3" width="1.7109375" style="195" customWidth="1"/>
    <col min="4" max="8" width="15.7109375" style="194" customWidth="1"/>
    <col min="9" max="9" width="1.7109375" style="194" customWidth="1"/>
    <col min="10" max="10" width="10.140625" customWidth="1"/>
    <col min="11" max="11" width="22.28515625" hidden="1" customWidth="1" outlineLevel="1"/>
    <col min="12" max="12" width="1.7109375" style="195" customWidth="1" collapsed="1"/>
    <col min="13" max="17" width="15.7109375" style="194" customWidth="1"/>
    <col min="18" max="18" width="2.42578125" style="194" customWidth="1"/>
    <col min="19" max="19" width="52.140625" style="195" customWidth="1"/>
    <col min="20" max="263" width="9.140625" style="195"/>
    <col min="264" max="264" width="35" style="195" customWidth="1"/>
    <col min="265" max="268" width="14.42578125" style="195" customWidth="1"/>
    <col min="269" max="269" width="2.42578125" style="195" customWidth="1"/>
    <col min="270" max="273" width="14.42578125" style="195" customWidth="1"/>
    <col min="274" max="274" width="2.42578125" style="195" customWidth="1"/>
    <col min="275" max="275" width="52.140625" style="195" customWidth="1"/>
    <col min="276" max="519" width="9.140625" style="195"/>
    <col min="520" max="520" width="35" style="195" customWidth="1"/>
    <col min="521" max="524" width="14.42578125" style="195" customWidth="1"/>
    <col min="525" max="525" width="2.42578125" style="195" customWidth="1"/>
    <col min="526" max="529" width="14.42578125" style="195" customWidth="1"/>
    <col min="530" max="530" width="2.42578125" style="195" customWidth="1"/>
    <col min="531" max="531" width="52.140625" style="195" customWidth="1"/>
    <col min="532" max="775" width="9.140625" style="195"/>
    <col min="776" max="776" width="35" style="195" customWidth="1"/>
    <col min="777" max="780" width="14.42578125" style="195" customWidth="1"/>
    <col min="781" max="781" width="2.42578125" style="195" customWidth="1"/>
    <col min="782" max="785" width="14.42578125" style="195" customWidth="1"/>
    <col min="786" max="786" width="2.42578125" style="195" customWidth="1"/>
    <col min="787" max="787" width="52.140625" style="195" customWidth="1"/>
    <col min="788" max="1031" width="9.140625" style="195"/>
    <col min="1032" max="1032" width="35" style="195" customWidth="1"/>
    <col min="1033" max="1036" width="14.42578125" style="195" customWidth="1"/>
    <col min="1037" max="1037" width="2.42578125" style="195" customWidth="1"/>
    <col min="1038" max="1041" width="14.42578125" style="195" customWidth="1"/>
    <col min="1042" max="1042" width="2.42578125" style="195" customWidth="1"/>
    <col min="1043" max="1043" width="52.140625" style="195" customWidth="1"/>
    <col min="1044" max="1287" width="9.140625" style="195"/>
    <col min="1288" max="1288" width="35" style="195" customWidth="1"/>
    <col min="1289" max="1292" width="14.42578125" style="195" customWidth="1"/>
    <col min="1293" max="1293" width="2.42578125" style="195" customWidth="1"/>
    <col min="1294" max="1297" width="14.42578125" style="195" customWidth="1"/>
    <col min="1298" max="1298" width="2.42578125" style="195" customWidth="1"/>
    <col min="1299" max="1299" width="52.140625" style="195" customWidth="1"/>
    <col min="1300" max="1543" width="9.140625" style="195"/>
    <col min="1544" max="1544" width="35" style="195" customWidth="1"/>
    <col min="1545" max="1548" width="14.42578125" style="195" customWidth="1"/>
    <col min="1549" max="1549" width="2.42578125" style="195" customWidth="1"/>
    <col min="1550" max="1553" width="14.42578125" style="195" customWidth="1"/>
    <col min="1554" max="1554" width="2.42578125" style="195" customWidth="1"/>
    <col min="1555" max="1555" width="52.140625" style="195" customWidth="1"/>
    <col min="1556" max="1799" width="9.140625" style="195"/>
    <col min="1800" max="1800" width="35" style="195" customWidth="1"/>
    <col min="1801" max="1804" width="14.42578125" style="195" customWidth="1"/>
    <col min="1805" max="1805" width="2.42578125" style="195" customWidth="1"/>
    <col min="1806" max="1809" width="14.42578125" style="195" customWidth="1"/>
    <col min="1810" max="1810" width="2.42578125" style="195" customWidth="1"/>
    <col min="1811" max="1811" width="52.140625" style="195" customWidth="1"/>
    <col min="1812" max="2055" width="9.140625" style="195"/>
    <col min="2056" max="2056" width="35" style="195" customWidth="1"/>
    <col min="2057" max="2060" width="14.42578125" style="195" customWidth="1"/>
    <col min="2061" max="2061" width="2.42578125" style="195" customWidth="1"/>
    <col min="2062" max="2065" width="14.42578125" style="195" customWidth="1"/>
    <col min="2066" max="2066" width="2.42578125" style="195" customWidth="1"/>
    <col min="2067" max="2067" width="52.140625" style="195" customWidth="1"/>
    <col min="2068" max="2311" width="9.140625" style="195"/>
    <col min="2312" max="2312" width="35" style="195" customWidth="1"/>
    <col min="2313" max="2316" width="14.42578125" style="195" customWidth="1"/>
    <col min="2317" max="2317" width="2.42578125" style="195" customWidth="1"/>
    <col min="2318" max="2321" width="14.42578125" style="195" customWidth="1"/>
    <col min="2322" max="2322" width="2.42578125" style="195" customWidth="1"/>
    <col min="2323" max="2323" width="52.140625" style="195" customWidth="1"/>
    <col min="2324" max="2567" width="9.140625" style="195"/>
    <col min="2568" max="2568" width="35" style="195" customWidth="1"/>
    <col min="2569" max="2572" width="14.42578125" style="195" customWidth="1"/>
    <col min="2573" max="2573" width="2.42578125" style="195" customWidth="1"/>
    <col min="2574" max="2577" width="14.42578125" style="195" customWidth="1"/>
    <col min="2578" max="2578" width="2.42578125" style="195" customWidth="1"/>
    <col min="2579" max="2579" width="52.140625" style="195" customWidth="1"/>
    <col min="2580" max="2823" width="9.140625" style="195"/>
    <col min="2824" max="2824" width="35" style="195" customWidth="1"/>
    <col min="2825" max="2828" width="14.42578125" style="195" customWidth="1"/>
    <col min="2829" max="2829" width="2.42578125" style="195" customWidth="1"/>
    <col min="2830" max="2833" width="14.42578125" style="195" customWidth="1"/>
    <col min="2834" max="2834" width="2.42578125" style="195" customWidth="1"/>
    <col min="2835" max="2835" width="52.140625" style="195" customWidth="1"/>
    <col min="2836" max="3079" width="9.140625" style="195"/>
    <col min="3080" max="3080" width="35" style="195" customWidth="1"/>
    <col min="3081" max="3084" width="14.42578125" style="195" customWidth="1"/>
    <col min="3085" max="3085" width="2.42578125" style="195" customWidth="1"/>
    <col min="3086" max="3089" width="14.42578125" style="195" customWidth="1"/>
    <col min="3090" max="3090" width="2.42578125" style="195" customWidth="1"/>
    <col min="3091" max="3091" width="52.140625" style="195" customWidth="1"/>
    <col min="3092" max="3335" width="9.140625" style="195"/>
    <col min="3336" max="3336" width="35" style="195" customWidth="1"/>
    <col min="3337" max="3340" width="14.42578125" style="195" customWidth="1"/>
    <col min="3341" max="3341" width="2.42578125" style="195" customWidth="1"/>
    <col min="3342" max="3345" width="14.42578125" style="195" customWidth="1"/>
    <col min="3346" max="3346" width="2.42578125" style="195" customWidth="1"/>
    <col min="3347" max="3347" width="52.140625" style="195" customWidth="1"/>
    <col min="3348" max="3591" width="9.140625" style="195"/>
    <col min="3592" max="3592" width="35" style="195" customWidth="1"/>
    <col min="3593" max="3596" width="14.42578125" style="195" customWidth="1"/>
    <col min="3597" max="3597" width="2.42578125" style="195" customWidth="1"/>
    <col min="3598" max="3601" width="14.42578125" style="195" customWidth="1"/>
    <col min="3602" max="3602" width="2.42578125" style="195" customWidth="1"/>
    <col min="3603" max="3603" width="52.140625" style="195" customWidth="1"/>
    <col min="3604" max="3847" width="9.140625" style="195"/>
    <col min="3848" max="3848" width="35" style="195" customWidth="1"/>
    <col min="3849" max="3852" width="14.42578125" style="195" customWidth="1"/>
    <col min="3853" max="3853" width="2.42578125" style="195" customWidth="1"/>
    <col min="3854" max="3857" width="14.42578125" style="195" customWidth="1"/>
    <col min="3858" max="3858" width="2.42578125" style="195" customWidth="1"/>
    <col min="3859" max="3859" width="52.140625" style="195" customWidth="1"/>
    <col min="3860" max="4103" width="9.140625" style="195"/>
    <col min="4104" max="4104" width="35" style="195" customWidth="1"/>
    <col min="4105" max="4108" width="14.42578125" style="195" customWidth="1"/>
    <col min="4109" max="4109" width="2.42578125" style="195" customWidth="1"/>
    <col min="4110" max="4113" width="14.42578125" style="195" customWidth="1"/>
    <col min="4114" max="4114" width="2.42578125" style="195" customWidth="1"/>
    <col min="4115" max="4115" width="52.140625" style="195" customWidth="1"/>
    <col min="4116" max="4359" width="9.140625" style="195"/>
    <col min="4360" max="4360" width="35" style="195" customWidth="1"/>
    <col min="4361" max="4364" width="14.42578125" style="195" customWidth="1"/>
    <col min="4365" max="4365" width="2.42578125" style="195" customWidth="1"/>
    <col min="4366" max="4369" width="14.42578125" style="195" customWidth="1"/>
    <col min="4370" max="4370" width="2.42578125" style="195" customWidth="1"/>
    <col min="4371" max="4371" width="52.140625" style="195" customWidth="1"/>
    <col min="4372" max="4615" width="9.140625" style="195"/>
    <col min="4616" max="4616" width="35" style="195" customWidth="1"/>
    <col min="4617" max="4620" width="14.42578125" style="195" customWidth="1"/>
    <col min="4621" max="4621" width="2.42578125" style="195" customWidth="1"/>
    <col min="4622" max="4625" width="14.42578125" style="195" customWidth="1"/>
    <col min="4626" max="4626" width="2.42578125" style="195" customWidth="1"/>
    <col min="4627" max="4627" width="52.140625" style="195" customWidth="1"/>
    <col min="4628" max="4871" width="9.140625" style="195"/>
    <col min="4872" max="4872" width="35" style="195" customWidth="1"/>
    <col min="4873" max="4876" width="14.42578125" style="195" customWidth="1"/>
    <col min="4877" max="4877" width="2.42578125" style="195" customWidth="1"/>
    <col min="4878" max="4881" width="14.42578125" style="195" customWidth="1"/>
    <col min="4882" max="4882" width="2.42578125" style="195" customWidth="1"/>
    <col min="4883" max="4883" width="52.140625" style="195" customWidth="1"/>
    <col min="4884" max="5127" width="9.140625" style="195"/>
    <col min="5128" max="5128" width="35" style="195" customWidth="1"/>
    <col min="5129" max="5132" width="14.42578125" style="195" customWidth="1"/>
    <col min="5133" max="5133" width="2.42578125" style="195" customWidth="1"/>
    <col min="5134" max="5137" width="14.42578125" style="195" customWidth="1"/>
    <col min="5138" max="5138" width="2.42578125" style="195" customWidth="1"/>
    <col min="5139" max="5139" width="52.140625" style="195" customWidth="1"/>
    <col min="5140" max="5383" width="9.140625" style="195"/>
    <col min="5384" max="5384" width="35" style="195" customWidth="1"/>
    <col min="5385" max="5388" width="14.42578125" style="195" customWidth="1"/>
    <col min="5389" max="5389" width="2.42578125" style="195" customWidth="1"/>
    <col min="5390" max="5393" width="14.42578125" style="195" customWidth="1"/>
    <col min="5394" max="5394" width="2.42578125" style="195" customWidth="1"/>
    <col min="5395" max="5395" width="52.140625" style="195" customWidth="1"/>
    <col min="5396" max="5639" width="9.140625" style="195"/>
    <col min="5640" max="5640" width="35" style="195" customWidth="1"/>
    <col min="5641" max="5644" width="14.42578125" style="195" customWidth="1"/>
    <col min="5645" max="5645" width="2.42578125" style="195" customWidth="1"/>
    <col min="5646" max="5649" width="14.42578125" style="195" customWidth="1"/>
    <col min="5650" max="5650" width="2.42578125" style="195" customWidth="1"/>
    <col min="5651" max="5651" width="52.140625" style="195" customWidth="1"/>
    <col min="5652" max="5895" width="9.140625" style="195"/>
    <col min="5896" max="5896" width="35" style="195" customWidth="1"/>
    <col min="5897" max="5900" width="14.42578125" style="195" customWidth="1"/>
    <col min="5901" max="5901" width="2.42578125" style="195" customWidth="1"/>
    <col min="5902" max="5905" width="14.42578125" style="195" customWidth="1"/>
    <col min="5906" max="5906" width="2.42578125" style="195" customWidth="1"/>
    <col min="5907" max="5907" width="52.140625" style="195" customWidth="1"/>
    <col min="5908" max="6151" width="9.140625" style="195"/>
    <col min="6152" max="6152" width="35" style="195" customWidth="1"/>
    <col min="6153" max="6156" width="14.42578125" style="195" customWidth="1"/>
    <col min="6157" max="6157" width="2.42578125" style="195" customWidth="1"/>
    <col min="6158" max="6161" width="14.42578125" style="195" customWidth="1"/>
    <col min="6162" max="6162" width="2.42578125" style="195" customWidth="1"/>
    <col min="6163" max="6163" width="52.140625" style="195" customWidth="1"/>
    <col min="6164" max="6407" width="9.140625" style="195"/>
    <col min="6408" max="6408" width="35" style="195" customWidth="1"/>
    <col min="6409" max="6412" width="14.42578125" style="195" customWidth="1"/>
    <col min="6413" max="6413" width="2.42578125" style="195" customWidth="1"/>
    <col min="6414" max="6417" width="14.42578125" style="195" customWidth="1"/>
    <col min="6418" max="6418" width="2.42578125" style="195" customWidth="1"/>
    <col min="6419" max="6419" width="52.140625" style="195" customWidth="1"/>
    <col min="6420" max="6663" width="9.140625" style="195"/>
    <col min="6664" max="6664" width="35" style="195" customWidth="1"/>
    <col min="6665" max="6668" width="14.42578125" style="195" customWidth="1"/>
    <col min="6669" max="6669" width="2.42578125" style="195" customWidth="1"/>
    <col min="6670" max="6673" width="14.42578125" style="195" customWidth="1"/>
    <col min="6674" max="6674" width="2.42578125" style="195" customWidth="1"/>
    <col min="6675" max="6675" width="52.140625" style="195" customWidth="1"/>
    <col min="6676" max="6919" width="9.140625" style="195"/>
    <col min="6920" max="6920" width="35" style="195" customWidth="1"/>
    <col min="6921" max="6924" width="14.42578125" style="195" customWidth="1"/>
    <col min="6925" max="6925" width="2.42578125" style="195" customWidth="1"/>
    <col min="6926" max="6929" width="14.42578125" style="195" customWidth="1"/>
    <col min="6930" max="6930" width="2.42578125" style="195" customWidth="1"/>
    <col min="6931" max="6931" width="52.140625" style="195" customWidth="1"/>
    <col min="6932" max="7175" width="9.140625" style="195"/>
    <col min="7176" max="7176" width="35" style="195" customWidth="1"/>
    <col min="7177" max="7180" width="14.42578125" style="195" customWidth="1"/>
    <col min="7181" max="7181" width="2.42578125" style="195" customWidth="1"/>
    <col min="7182" max="7185" width="14.42578125" style="195" customWidth="1"/>
    <col min="7186" max="7186" width="2.42578125" style="195" customWidth="1"/>
    <col min="7187" max="7187" width="52.140625" style="195" customWidth="1"/>
    <col min="7188" max="7431" width="9.140625" style="195"/>
    <col min="7432" max="7432" width="35" style="195" customWidth="1"/>
    <col min="7433" max="7436" width="14.42578125" style="195" customWidth="1"/>
    <col min="7437" max="7437" width="2.42578125" style="195" customWidth="1"/>
    <col min="7438" max="7441" width="14.42578125" style="195" customWidth="1"/>
    <col min="7442" max="7442" width="2.42578125" style="195" customWidth="1"/>
    <col min="7443" max="7443" width="52.140625" style="195" customWidth="1"/>
    <col min="7444" max="7687" width="9.140625" style="195"/>
    <col min="7688" max="7688" width="35" style="195" customWidth="1"/>
    <col min="7689" max="7692" width="14.42578125" style="195" customWidth="1"/>
    <col min="7693" max="7693" width="2.42578125" style="195" customWidth="1"/>
    <col min="7694" max="7697" width="14.42578125" style="195" customWidth="1"/>
    <col min="7698" max="7698" width="2.42578125" style="195" customWidth="1"/>
    <col min="7699" max="7699" width="52.140625" style="195" customWidth="1"/>
    <col min="7700" max="7943" width="9.140625" style="195"/>
    <col min="7944" max="7944" width="35" style="195" customWidth="1"/>
    <col min="7945" max="7948" width="14.42578125" style="195" customWidth="1"/>
    <col min="7949" max="7949" width="2.42578125" style="195" customWidth="1"/>
    <col min="7950" max="7953" width="14.42578125" style="195" customWidth="1"/>
    <col min="7954" max="7954" width="2.42578125" style="195" customWidth="1"/>
    <col min="7955" max="7955" width="52.140625" style="195" customWidth="1"/>
    <col min="7956" max="8199" width="9.140625" style="195"/>
    <col min="8200" max="8200" width="35" style="195" customWidth="1"/>
    <col min="8201" max="8204" width="14.42578125" style="195" customWidth="1"/>
    <col min="8205" max="8205" width="2.42578125" style="195" customWidth="1"/>
    <col min="8206" max="8209" width="14.42578125" style="195" customWidth="1"/>
    <col min="8210" max="8210" width="2.42578125" style="195" customWidth="1"/>
    <col min="8211" max="8211" width="52.140625" style="195" customWidth="1"/>
    <col min="8212" max="8455" width="9.140625" style="195"/>
    <col min="8456" max="8456" width="35" style="195" customWidth="1"/>
    <col min="8457" max="8460" width="14.42578125" style="195" customWidth="1"/>
    <col min="8461" max="8461" width="2.42578125" style="195" customWidth="1"/>
    <col min="8462" max="8465" width="14.42578125" style="195" customWidth="1"/>
    <col min="8466" max="8466" width="2.42578125" style="195" customWidth="1"/>
    <col min="8467" max="8467" width="52.140625" style="195" customWidth="1"/>
    <col min="8468" max="8711" width="9.140625" style="195"/>
    <col min="8712" max="8712" width="35" style="195" customWidth="1"/>
    <col min="8713" max="8716" width="14.42578125" style="195" customWidth="1"/>
    <col min="8717" max="8717" width="2.42578125" style="195" customWidth="1"/>
    <col min="8718" max="8721" width="14.42578125" style="195" customWidth="1"/>
    <col min="8722" max="8722" width="2.42578125" style="195" customWidth="1"/>
    <col min="8723" max="8723" width="52.140625" style="195" customWidth="1"/>
    <col min="8724" max="8967" width="9.140625" style="195"/>
    <col min="8968" max="8968" width="35" style="195" customWidth="1"/>
    <col min="8969" max="8972" width="14.42578125" style="195" customWidth="1"/>
    <col min="8973" max="8973" width="2.42578125" style="195" customWidth="1"/>
    <col min="8974" max="8977" width="14.42578125" style="195" customWidth="1"/>
    <col min="8978" max="8978" width="2.42578125" style="195" customWidth="1"/>
    <col min="8979" max="8979" width="52.140625" style="195" customWidth="1"/>
    <col min="8980" max="9223" width="9.140625" style="195"/>
    <col min="9224" max="9224" width="35" style="195" customWidth="1"/>
    <col min="9225" max="9228" width="14.42578125" style="195" customWidth="1"/>
    <col min="9229" max="9229" width="2.42578125" style="195" customWidth="1"/>
    <col min="9230" max="9233" width="14.42578125" style="195" customWidth="1"/>
    <col min="9234" max="9234" width="2.42578125" style="195" customWidth="1"/>
    <col min="9235" max="9235" width="52.140625" style="195" customWidth="1"/>
    <col min="9236" max="9479" width="9.140625" style="195"/>
    <col min="9480" max="9480" width="35" style="195" customWidth="1"/>
    <col min="9481" max="9484" width="14.42578125" style="195" customWidth="1"/>
    <col min="9485" max="9485" width="2.42578125" style="195" customWidth="1"/>
    <col min="9486" max="9489" width="14.42578125" style="195" customWidth="1"/>
    <col min="9490" max="9490" width="2.42578125" style="195" customWidth="1"/>
    <col min="9491" max="9491" width="52.140625" style="195" customWidth="1"/>
    <col min="9492" max="9735" width="9.140625" style="195"/>
    <col min="9736" max="9736" width="35" style="195" customWidth="1"/>
    <col min="9737" max="9740" width="14.42578125" style="195" customWidth="1"/>
    <col min="9741" max="9741" width="2.42578125" style="195" customWidth="1"/>
    <col min="9742" max="9745" width="14.42578125" style="195" customWidth="1"/>
    <col min="9746" max="9746" width="2.42578125" style="195" customWidth="1"/>
    <col min="9747" max="9747" width="52.140625" style="195" customWidth="1"/>
    <col min="9748" max="9991" width="9.140625" style="195"/>
    <col min="9992" max="9992" width="35" style="195" customWidth="1"/>
    <col min="9993" max="9996" width="14.42578125" style="195" customWidth="1"/>
    <col min="9997" max="9997" width="2.42578125" style="195" customWidth="1"/>
    <col min="9998" max="10001" width="14.42578125" style="195" customWidth="1"/>
    <col min="10002" max="10002" width="2.42578125" style="195" customWidth="1"/>
    <col min="10003" max="10003" width="52.140625" style="195" customWidth="1"/>
    <col min="10004" max="10247" width="9.140625" style="195"/>
    <col min="10248" max="10248" width="35" style="195" customWidth="1"/>
    <col min="10249" max="10252" width="14.42578125" style="195" customWidth="1"/>
    <col min="10253" max="10253" width="2.42578125" style="195" customWidth="1"/>
    <col min="10254" max="10257" width="14.42578125" style="195" customWidth="1"/>
    <col min="10258" max="10258" width="2.42578125" style="195" customWidth="1"/>
    <col min="10259" max="10259" width="52.140625" style="195" customWidth="1"/>
    <col min="10260" max="10503" width="9.140625" style="195"/>
    <col min="10504" max="10504" width="35" style="195" customWidth="1"/>
    <col min="10505" max="10508" width="14.42578125" style="195" customWidth="1"/>
    <col min="10509" max="10509" width="2.42578125" style="195" customWidth="1"/>
    <col min="10510" max="10513" width="14.42578125" style="195" customWidth="1"/>
    <col min="10514" max="10514" width="2.42578125" style="195" customWidth="1"/>
    <col min="10515" max="10515" width="52.140625" style="195" customWidth="1"/>
    <col min="10516" max="10759" width="9.140625" style="195"/>
    <col min="10760" max="10760" width="35" style="195" customWidth="1"/>
    <col min="10761" max="10764" width="14.42578125" style="195" customWidth="1"/>
    <col min="10765" max="10765" width="2.42578125" style="195" customWidth="1"/>
    <col min="10766" max="10769" width="14.42578125" style="195" customWidth="1"/>
    <col min="10770" max="10770" width="2.42578125" style="195" customWidth="1"/>
    <col min="10771" max="10771" width="52.140625" style="195" customWidth="1"/>
    <col min="10772" max="11015" width="9.140625" style="195"/>
    <col min="11016" max="11016" width="35" style="195" customWidth="1"/>
    <col min="11017" max="11020" width="14.42578125" style="195" customWidth="1"/>
    <col min="11021" max="11021" width="2.42578125" style="195" customWidth="1"/>
    <col min="11022" max="11025" width="14.42578125" style="195" customWidth="1"/>
    <col min="11026" max="11026" width="2.42578125" style="195" customWidth="1"/>
    <col min="11027" max="11027" width="52.140625" style="195" customWidth="1"/>
    <col min="11028" max="11271" width="9.140625" style="195"/>
    <col min="11272" max="11272" width="35" style="195" customWidth="1"/>
    <col min="11273" max="11276" width="14.42578125" style="195" customWidth="1"/>
    <col min="11277" max="11277" width="2.42578125" style="195" customWidth="1"/>
    <col min="11278" max="11281" width="14.42578125" style="195" customWidth="1"/>
    <col min="11282" max="11282" width="2.42578125" style="195" customWidth="1"/>
    <col min="11283" max="11283" width="52.140625" style="195" customWidth="1"/>
    <col min="11284" max="11527" width="9.140625" style="195"/>
    <col min="11528" max="11528" width="35" style="195" customWidth="1"/>
    <col min="11529" max="11532" width="14.42578125" style="195" customWidth="1"/>
    <col min="11533" max="11533" width="2.42578125" style="195" customWidth="1"/>
    <col min="11534" max="11537" width="14.42578125" style="195" customWidth="1"/>
    <col min="11538" max="11538" width="2.42578125" style="195" customWidth="1"/>
    <col min="11539" max="11539" width="52.140625" style="195" customWidth="1"/>
    <col min="11540" max="11783" width="9.140625" style="195"/>
    <col min="11784" max="11784" width="35" style="195" customWidth="1"/>
    <col min="11785" max="11788" width="14.42578125" style="195" customWidth="1"/>
    <col min="11789" max="11789" width="2.42578125" style="195" customWidth="1"/>
    <col min="11790" max="11793" width="14.42578125" style="195" customWidth="1"/>
    <col min="11794" max="11794" width="2.42578125" style="195" customWidth="1"/>
    <col min="11795" max="11795" width="52.140625" style="195" customWidth="1"/>
    <col min="11796" max="12039" width="9.140625" style="195"/>
    <col min="12040" max="12040" width="35" style="195" customWidth="1"/>
    <col min="12041" max="12044" width="14.42578125" style="195" customWidth="1"/>
    <col min="12045" max="12045" width="2.42578125" style="195" customWidth="1"/>
    <col min="12046" max="12049" width="14.42578125" style="195" customWidth="1"/>
    <col min="12050" max="12050" width="2.42578125" style="195" customWidth="1"/>
    <col min="12051" max="12051" width="52.140625" style="195" customWidth="1"/>
    <col min="12052" max="12295" width="9.140625" style="195"/>
    <col min="12296" max="12296" width="35" style="195" customWidth="1"/>
    <col min="12297" max="12300" width="14.42578125" style="195" customWidth="1"/>
    <col min="12301" max="12301" width="2.42578125" style="195" customWidth="1"/>
    <col min="12302" max="12305" width="14.42578125" style="195" customWidth="1"/>
    <col min="12306" max="12306" width="2.42578125" style="195" customWidth="1"/>
    <col min="12307" max="12307" width="52.140625" style="195" customWidth="1"/>
    <col min="12308" max="12551" width="9.140625" style="195"/>
    <col min="12552" max="12552" width="35" style="195" customWidth="1"/>
    <col min="12553" max="12556" width="14.42578125" style="195" customWidth="1"/>
    <col min="12557" max="12557" width="2.42578125" style="195" customWidth="1"/>
    <col min="12558" max="12561" width="14.42578125" style="195" customWidth="1"/>
    <col min="12562" max="12562" width="2.42578125" style="195" customWidth="1"/>
    <col min="12563" max="12563" width="52.140625" style="195" customWidth="1"/>
    <col min="12564" max="12807" width="9.140625" style="195"/>
    <col min="12808" max="12808" width="35" style="195" customWidth="1"/>
    <col min="12809" max="12812" width="14.42578125" style="195" customWidth="1"/>
    <col min="12813" max="12813" width="2.42578125" style="195" customWidth="1"/>
    <col min="12814" max="12817" width="14.42578125" style="195" customWidth="1"/>
    <col min="12818" max="12818" width="2.42578125" style="195" customWidth="1"/>
    <col min="12819" max="12819" width="52.140625" style="195" customWidth="1"/>
    <col min="12820" max="13063" width="9.140625" style="195"/>
    <col min="13064" max="13064" width="35" style="195" customWidth="1"/>
    <col min="13065" max="13068" width="14.42578125" style="195" customWidth="1"/>
    <col min="13069" max="13069" width="2.42578125" style="195" customWidth="1"/>
    <col min="13070" max="13073" width="14.42578125" style="195" customWidth="1"/>
    <col min="13074" max="13074" width="2.42578125" style="195" customWidth="1"/>
    <col min="13075" max="13075" width="52.140625" style="195" customWidth="1"/>
    <col min="13076" max="13319" width="9.140625" style="195"/>
    <col min="13320" max="13320" width="35" style="195" customWidth="1"/>
    <col min="13321" max="13324" width="14.42578125" style="195" customWidth="1"/>
    <col min="13325" max="13325" width="2.42578125" style="195" customWidth="1"/>
    <col min="13326" max="13329" width="14.42578125" style="195" customWidth="1"/>
    <col min="13330" max="13330" width="2.42578125" style="195" customWidth="1"/>
    <col min="13331" max="13331" width="52.140625" style="195" customWidth="1"/>
    <col min="13332" max="13575" width="9.140625" style="195"/>
    <col min="13576" max="13576" width="35" style="195" customWidth="1"/>
    <col min="13577" max="13580" width="14.42578125" style="195" customWidth="1"/>
    <col min="13581" max="13581" width="2.42578125" style="195" customWidth="1"/>
    <col min="13582" max="13585" width="14.42578125" style="195" customWidth="1"/>
    <col min="13586" max="13586" width="2.42578125" style="195" customWidth="1"/>
    <col min="13587" max="13587" width="52.140625" style="195" customWidth="1"/>
    <col min="13588" max="13831" width="9.140625" style="195"/>
    <col min="13832" max="13832" width="35" style="195" customWidth="1"/>
    <col min="13833" max="13836" width="14.42578125" style="195" customWidth="1"/>
    <col min="13837" max="13837" width="2.42578125" style="195" customWidth="1"/>
    <col min="13838" max="13841" width="14.42578125" style="195" customWidth="1"/>
    <col min="13842" max="13842" width="2.42578125" style="195" customWidth="1"/>
    <col min="13843" max="13843" width="52.140625" style="195" customWidth="1"/>
    <col min="13844" max="14087" width="9.140625" style="195"/>
    <col min="14088" max="14088" width="35" style="195" customWidth="1"/>
    <col min="14089" max="14092" width="14.42578125" style="195" customWidth="1"/>
    <col min="14093" max="14093" width="2.42578125" style="195" customWidth="1"/>
    <col min="14094" max="14097" width="14.42578125" style="195" customWidth="1"/>
    <col min="14098" max="14098" width="2.42578125" style="195" customWidth="1"/>
    <col min="14099" max="14099" width="52.140625" style="195" customWidth="1"/>
    <col min="14100" max="14343" width="9.140625" style="195"/>
    <col min="14344" max="14344" width="35" style="195" customWidth="1"/>
    <col min="14345" max="14348" width="14.42578125" style="195" customWidth="1"/>
    <col min="14349" max="14349" width="2.42578125" style="195" customWidth="1"/>
    <col min="14350" max="14353" width="14.42578125" style="195" customWidth="1"/>
    <col min="14354" max="14354" width="2.42578125" style="195" customWidth="1"/>
    <col min="14355" max="14355" width="52.140625" style="195" customWidth="1"/>
    <col min="14356" max="14599" width="9.140625" style="195"/>
    <col min="14600" max="14600" width="35" style="195" customWidth="1"/>
    <col min="14601" max="14604" width="14.42578125" style="195" customWidth="1"/>
    <col min="14605" max="14605" width="2.42578125" style="195" customWidth="1"/>
    <col min="14606" max="14609" width="14.42578125" style="195" customWidth="1"/>
    <col min="14610" max="14610" width="2.42578125" style="195" customWidth="1"/>
    <col min="14611" max="14611" width="52.140625" style="195" customWidth="1"/>
    <col min="14612" max="14855" width="9.140625" style="195"/>
    <col min="14856" max="14856" width="35" style="195" customWidth="1"/>
    <col min="14857" max="14860" width="14.42578125" style="195" customWidth="1"/>
    <col min="14861" max="14861" width="2.42578125" style="195" customWidth="1"/>
    <col min="14862" max="14865" width="14.42578125" style="195" customWidth="1"/>
    <col min="14866" max="14866" width="2.42578125" style="195" customWidth="1"/>
    <col min="14867" max="14867" width="52.140625" style="195" customWidth="1"/>
    <col min="14868" max="15111" width="9.140625" style="195"/>
    <col min="15112" max="15112" width="35" style="195" customWidth="1"/>
    <col min="15113" max="15116" width="14.42578125" style="195" customWidth="1"/>
    <col min="15117" max="15117" width="2.42578125" style="195" customWidth="1"/>
    <col min="15118" max="15121" width="14.42578125" style="195" customWidth="1"/>
    <col min="15122" max="15122" width="2.42578125" style="195" customWidth="1"/>
    <col min="15123" max="15123" width="52.140625" style="195" customWidth="1"/>
    <col min="15124" max="15367" width="9.140625" style="195"/>
    <col min="15368" max="15368" width="35" style="195" customWidth="1"/>
    <col min="15369" max="15372" width="14.42578125" style="195" customWidth="1"/>
    <col min="15373" max="15373" width="2.42578125" style="195" customWidth="1"/>
    <col min="15374" max="15377" width="14.42578125" style="195" customWidth="1"/>
    <col min="15378" max="15378" width="2.42578125" style="195" customWidth="1"/>
    <col min="15379" max="15379" width="52.140625" style="195" customWidth="1"/>
    <col min="15380" max="15623" width="9.140625" style="195"/>
    <col min="15624" max="15624" width="35" style="195" customWidth="1"/>
    <col min="15625" max="15628" width="14.42578125" style="195" customWidth="1"/>
    <col min="15629" max="15629" width="2.42578125" style="195" customWidth="1"/>
    <col min="15630" max="15633" width="14.42578125" style="195" customWidth="1"/>
    <col min="15634" max="15634" width="2.42578125" style="195" customWidth="1"/>
    <col min="15635" max="15635" width="52.140625" style="195" customWidth="1"/>
    <col min="15636" max="15879" width="9.140625" style="195"/>
    <col min="15880" max="15880" width="35" style="195" customWidth="1"/>
    <col min="15881" max="15884" width="14.42578125" style="195" customWidth="1"/>
    <col min="15885" max="15885" width="2.42578125" style="195" customWidth="1"/>
    <col min="15886" max="15889" width="14.42578125" style="195" customWidth="1"/>
    <col min="15890" max="15890" width="2.42578125" style="195" customWidth="1"/>
    <col min="15891" max="15891" width="52.140625" style="195" customWidth="1"/>
    <col min="15892" max="16135" width="9.140625" style="195"/>
    <col min="16136" max="16136" width="35" style="195" customWidth="1"/>
    <col min="16137" max="16140" width="14.42578125" style="195" customWidth="1"/>
    <col min="16141" max="16141" width="2.42578125" style="195" customWidth="1"/>
    <col min="16142" max="16145" width="14.42578125" style="195" customWidth="1"/>
    <col min="16146" max="16146" width="2.42578125" style="195" customWidth="1"/>
    <col min="16147" max="16147" width="52.140625" style="195" customWidth="1"/>
    <col min="16148" max="16384" width="9.140625" style="195"/>
  </cols>
  <sheetData>
    <row r="1" spans="1:101" s="263" customFormat="1" hidden="1" outlineLevel="1">
      <c r="E1" s="263">
        <v>2013</v>
      </c>
      <c r="J1" s="268"/>
      <c r="K1" s="268"/>
      <c r="N1" s="263">
        <v>2018</v>
      </c>
      <c r="R1" s="264"/>
    </row>
    <row r="2" spans="1:101" s="263" customFormat="1" hidden="1" outlineLevel="1">
      <c r="D2" s="264" t="s">
        <v>66</v>
      </c>
      <c r="E2" s="264" t="s">
        <v>67</v>
      </c>
      <c r="F2" s="264" t="s">
        <v>101</v>
      </c>
      <c r="G2" s="264" t="s">
        <v>406</v>
      </c>
      <c r="H2" s="264"/>
      <c r="I2" s="264"/>
      <c r="J2" s="270"/>
      <c r="K2" s="270"/>
      <c r="M2" s="264" t="s">
        <v>66</v>
      </c>
      <c r="N2" s="264" t="s">
        <v>67</v>
      </c>
      <c r="O2" s="264" t="s">
        <v>101</v>
      </c>
      <c r="P2" s="264" t="s">
        <v>406</v>
      </c>
      <c r="Q2" s="264"/>
      <c r="R2" s="264"/>
    </row>
    <row r="3" spans="1:101" collapsed="1">
      <c r="A3" s="126" t="s">
        <v>91</v>
      </c>
      <c r="B3" s="126" t="str">
        <f>'ORTP Summary'!C1</f>
        <v>ISO-NE ORTP 2013 Study</v>
      </c>
      <c r="C3" s="126"/>
      <c r="L3" s="126"/>
    </row>
    <row r="4" spans="1:101">
      <c r="A4" s="126" t="s">
        <v>92</v>
      </c>
      <c r="B4" s="140" t="s">
        <v>113</v>
      </c>
      <c r="C4" s="140"/>
      <c r="L4" s="140"/>
    </row>
    <row r="5" spans="1:101">
      <c r="A5" s="126" t="s">
        <v>114</v>
      </c>
      <c r="B5" s="95" t="s">
        <v>177</v>
      </c>
      <c r="C5" s="95"/>
      <c r="L5" s="95"/>
    </row>
    <row r="7" spans="1:101" ht="6" customHeight="1" thickBot="1">
      <c r="B7" s="220"/>
      <c r="C7" s="220"/>
      <c r="D7" s="221"/>
      <c r="E7" s="221"/>
      <c r="F7" s="221"/>
      <c r="G7" s="221"/>
      <c r="H7" s="221"/>
      <c r="I7" s="221"/>
      <c r="J7" s="157"/>
      <c r="K7" s="157"/>
      <c r="L7" s="220"/>
      <c r="M7" s="221"/>
      <c r="N7" s="221"/>
      <c r="O7" s="221"/>
      <c r="P7" s="221"/>
      <c r="Q7" s="221"/>
      <c r="R7" s="221"/>
      <c r="S7" s="220"/>
    </row>
    <row r="8" spans="1:101" ht="6" customHeight="1" thickTop="1">
      <c r="J8" s="142"/>
      <c r="K8" s="142"/>
    </row>
    <row r="9" spans="1:101" ht="12.75" customHeight="1">
      <c r="B9" s="218"/>
      <c r="C9" s="218"/>
      <c r="D9" s="1350" t="str">
        <f>"Reference Year Costs ("&amp;E1&amp;"$)"</f>
        <v>Reference Year Costs (2013$)</v>
      </c>
      <c r="E9" s="1350"/>
      <c r="F9" s="1350"/>
      <c r="G9" s="1143"/>
      <c r="H9" s="1310"/>
      <c r="I9" s="446"/>
      <c r="J9" s="446"/>
      <c r="K9" s="446"/>
      <c r="L9" s="166"/>
      <c r="M9" s="1350" t="str">
        <f>"Reference Year Costs ("&amp;N1&amp;"$)"</f>
        <v>Reference Year Costs (2018$)</v>
      </c>
      <c r="N9" s="1350"/>
      <c r="O9" s="1350"/>
      <c r="P9" s="1143"/>
      <c r="Q9" s="1310"/>
      <c r="R9" s="446"/>
      <c r="S9" s="446"/>
      <c r="T9" s="446"/>
      <c r="U9" s="166"/>
      <c r="V9" s="450"/>
      <c r="W9" s="450"/>
      <c r="X9" s="450"/>
      <c r="Y9" s="450"/>
    </row>
    <row r="10" spans="1:101" ht="38.25">
      <c r="B10" s="319" t="s">
        <v>177</v>
      </c>
      <c r="C10" s="319"/>
      <c r="D10" s="225" t="str">
        <f>'Unit Specifications'!C$8</f>
        <v>Combustion Turbine</v>
      </c>
      <c r="E10" s="225" t="str">
        <f>'Unit Specifications'!D$8</f>
        <v>Combined Cycle Gas Turbine</v>
      </c>
      <c r="F10" s="225" t="str">
        <f>'Unit Specifications'!E$8</f>
        <v>On-Shore Wind</v>
      </c>
      <c r="G10" s="225" t="str">
        <f>'Unit Specifications'!F$8</f>
        <v>Solar PV</v>
      </c>
      <c r="H10" s="225"/>
      <c r="I10" s="196"/>
      <c r="J10" s="193" t="s">
        <v>309</v>
      </c>
      <c r="K10" s="193" t="s">
        <v>312</v>
      </c>
      <c r="L10" s="319"/>
      <c r="M10" s="225" t="str">
        <f>D10</f>
        <v>Combustion Turbine</v>
      </c>
      <c r="N10" s="225" t="str">
        <f>E10</f>
        <v>Combined Cycle Gas Turbine</v>
      </c>
      <c r="O10" s="225" t="str">
        <f>F10</f>
        <v>On-Shore Wind</v>
      </c>
      <c r="P10" s="225" t="str">
        <f>G10</f>
        <v>Solar PV</v>
      </c>
      <c r="Q10" s="225"/>
      <c r="R10" s="447"/>
      <c r="S10" s="1104" t="s">
        <v>123</v>
      </c>
    </row>
    <row r="11" spans="1:101" ht="6" customHeight="1">
      <c r="B11" s="222"/>
      <c r="C11" s="222"/>
      <c r="D11" s="223"/>
      <c r="E11" s="223"/>
      <c r="F11" s="223"/>
      <c r="G11" s="223"/>
      <c r="H11" s="223"/>
      <c r="I11" s="223"/>
      <c r="J11" s="159"/>
      <c r="K11" s="159"/>
      <c r="L11" s="222"/>
      <c r="M11" s="223"/>
      <c r="N11" s="223"/>
      <c r="O11" s="223"/>
      <c r="P11" s="223"/>
      <c r="Q11" s="223"/>
      <c r="R11" s="223"/>
      <c r="S11" s="224"/>
    </row>
    <row r="12" spans="1:101" ht="6" customHeight="1">
      <c r="B12" s="198"/>
      <c r="C12" s="198"/>
      <c r="D12" s="199"/>
      <c r="E12" s="214"/>
      <c r="F12" s="199"/>
      <c r="G12" s="199"/>
      <c r="H12" s="199"/>
      <c r="I12" s="199"/>
      <c r="J12" s="446"/>
      <c r="K12" s="446"/>
      <c r="L12" s="198"/>
      <c r="M12" s="199"/>
      <c r="N12" s="214"/>
      <c r="O12" s="199"/>
      <c r="P12" s="199"/>
      <c r="Q12" s="199"/>
      <c r="R12" s="199"/>
      <c r="S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row>
    <row r="13" spans="1:101">
      <c r="B13" s="207" t="s">
        <v>293</v>
      </c>
      <c r="C13" s="207"/>
      <c r="D13" s="208"/>
      <c r="E13" s="196"/>
      <c r="F13" s="208"/>
      <c r="G13" s="208"/>
      <c r="H13" s="208"/>
      <c r="I13" s="208"/>
      <c r="J13" s="151"/>
      <c r="K13" s="151"/>
      <c r="L13" s="207"/>
      <c r="M13" s="208"/>
      <c r="N13" s="447"/>
      <c r="O13" s="208"/>
      <c r="P13" s="208"/>
      <c r="Q13" s="208"/>
      <c r="R13" s="208"/>
      <c r="S13" s="206"/>
    </row>
    <row r="14" spans="1:101">
      <c r="B14" s="200" t="s">
        <v>166</v>
      </c>
      <c r="C14" s="200"/>
      <c r="D14" s="392">
        <v>882000</v>
      </c>
      <c r="E14" s="392">
        <v>2938000</v>
      </c>
      <c r="F14" s="392">
        <f>ROUND(10*59940,-3)</f>
        <v>599000</v>
      </c>
      <c r="G14" s="392">
        <f>ROUND(9*'Cost Assumptions'!$G$12*1000,-3)</f>
        <v>54000</v>
      </c>
      <c r="H14" s="397">
        <f>G14/('Cost Assumptions'!$G$12*1000)</f>
        <v>9</v>
      </c>
      <c r="I14" s="203"/>
      <c r="J14" s="491">
        <f>'CONE Calcs'!Inflation+K14</f>
        <v>3.7499999999999999E-2</v>
      </c>
      <c r="K14" s="423">
        <v>1.4999999999999999E-2</v>
      </c>
      <c r="L14" s="200"/>
      <c r="M14" s="397">
        <f t="shared" ref="M14:P17" si="0">ROUND(D14*(1+$J14)^($N$1-$E$1),-3)</f>
        <v>1060000</v>
      </c>
      <c r="N14" s="397">
        <f t="shared" si="0"/>
        <v>3532000</v>
      </c>
      <c r="O14" s="397">
        <f t="shared" si="0"/>
        <v>720000</v>
      </c>
      <c r="P14" s="397">
        <f t="shared" si="0"/>
        <v>65000</v>
      </c>
      <c r="Q14" s="397">
        <f>P14/('Cost Assumptions'!$G$12*1000)</f>
        <v>10.833333333333334</v>
      </c>
      <c r="R14" s="203"/>
      <c r="S14" s="206"/>
    </row>
    <row r="15" spans="1:101">
      <c r="B15" s="200" t="s">
        <v>167</v>
      </c>
      <c r="C15" s="200"/>
      <c r="D15" s="392">
        <v>308000</v>
      </c>
      <c r="E15" s="392">
        <v>4018000</v>
      </c>
      <c r="F15" s="392">
        <f>ROUND(10*59940,-3)</f>
        <v>599000</v>
      </c>
      <c r="G15" s="392">
        <f>ROUND(12*'Cost Assumptions'!$G$12*1000,-3)</f>
        <v>72000</v>
      </c>
      <c r="H15" s="397">
        <f>G15/('Cost Assumptions'!$G$12*1000)</f>
        <v>12</v>
      </c>
      <c r="I15" s="209"/>
      <c r="J15" s="491">
        <f>'CONE Calcs'!Inflation+K15</f>
        <v>2.6499999999999999E-2</v>
      </c>
      <c r="K15" s="423">
        <v>4.0000000000000001E-3</v>
      </c>
      <c r="L15" s="200"/>
      <c r="M15" s="397">
        <f t="shared" si="0"/>
        <v>351000</v>
      </c>
      <c r="N15" s="397">
        <f t="shared" si="0"/>
        <v>4579000</v>
      </c>
      <c r="O15" s="397">
        <f t="shared" si="0"/>
        <v>683000</v>
      </c>
      <c r="P15" s="397">
        <f t="shared" si="0"/>
        <v>82000</v>
      </c>
      <c r="Q15" s="397">
        <f>P15/('Cost Assumptions'!$G$12*1000)</f>
        <v>13.666666666666666</v>
      </c>
      <c r="R15" s="209"/>
      <c r="S15" s="201"/>
    </row>
    <row r="16" spans="1:101" s="198" customFormat="1">
      <c r="B16" s="200" t="s">
        <v>168</v>
      </c>
      <c r="C16" s="200"/>
      <c r="D16" s="392">
        <v>335000</v>
      </c>
      <c r="E16" s="392">
        <v>793000</v>
      </c>
      <c r="F16" s="392">
        <f>ROUND(15*59940,-3)</f>
        <v>899000</v>
      </c>
      <c r="G16" s="392">
        <f>ROUND(6*'Cost Assumptions'!$G$12*1000,-3)</f>
        <v>36000</v>
      </c>
      <c r="H16" s="397">
        <f>G16/('Cost Assumptions'!$G$12*1000)</f>
        <v>6</v>
      </c>
      <c r="I16" s="209"/>
      <c r="J16" s="491">
        <f>'CONE Calcs'!Inflation+K16</f>
        <v>2.6499999999999999E-2</v>
      </c>
      <c r="K16" s="423">
        <v>4.0000000000000001E-3</v>
      </c>
      <c r="L16" s="200"/>
      <c r="M16" s="397">
        <f t="shared" si="0"/>
        <v>382000</v>
      </c>
      <c r="N16" s="397">
        <f t="shared" si="0"/>
        <v>904000</v>
      </c>
      <c r="O16" s="397">
        <f t="shared" si="0"/>
        <v>1025000</v>
      </c>
      <c r="P16" s="397">
        <f t="shared" si="0"/>
        <v>41000</v>
      </c>
      <c r="Q16" s="397">
        <f>P16/('Cost Assumptions'!$G$12*1000)</f>
        <v>6.833333333333333</v>
      </c>
      <c r="R16" s="209"/>
      <c r="S16" s="201"/>
    </row>
    <row r="17" spans="2:19" s="198" customFormat="1">
      <c r="B17" s="200" t="s">
        <v>169</v>
      </c>
      <c r="C17" s="200"/>
      <c r="D17" s="397">
        <f>'Cost Assumptions'!D$47*10^6</f>
        <v>190000</v>
      </c>
      <c r="E17" s="397">
        <f>'Cost Assumptions'!E$47*10^6</f>
        <v>380000</v>
      </c>
      <c r="F17" s="397">
        <f>'Cost Assumptions'!F$47*10^6</f>
        <v>768000</v>
      </c>
      <c r="G17" s="397">
        <f>'Cost Assumptions'!G$47*10^6</f>
        <v>8000</v>
      </c>
      <c r="H17" s="397">
        <f>G17/('Cost Assumptions'!$G$12*1000)</f>
        <v>1.3333333333333333</v>
      </c>
      <c r="I17" s="205"/>
      <c r="J17" s="491">
        <f>'CONE Calcs'!Inflation+K17</f>
        <v>2.2499999999999999E-2</v>
      </c>
      <c r="K17" s="423">
        <v>0</v>
      </c>
      <c r="L17" s="200"/>
      <c r="M17" s="397">
        <f t="shared" si="0"/>
        <v>212000</v>
      </c>
      <c r="N17" s="397">
        <f t="shared" si="0"/>
        <v>425000</v>
      </c>
      <c r="O17" s="397">
        <f t="shared" si="0"/>
        <v>858000</v>
      </c>
      <c r="P17" s="397">
        <f t="shared" si="0"/>
        <v>9000</v>
      </c>
      <c r="Q17" s="397">
        <f>P17/('Cost Assumptions'!$G$12*1000)</f>
        <v>1.5</v>
      </c>
      <c r="R17" s="205"/>
      <c r="S17" s="206"/>
    </row>
    <row r="18" spans="2:19" ht="12" customHeight="1">
      <c r="B18" s="200" t="s">
        <v>170</v>
      </c>
      <c r="C18" s="200"/>
      <c r="D18" s="397">
        <f>ROUND('Cost Assumptions'!D$52*'Capital Costs'!E$47+'Cost Assumptions'!D$51*'O&amp;M Costs'!D$17,-3)</f>
        <v>1978000</v>
      </c>
      <c r="E18" s="397">
        <f>ROUND('Cost Assumptions'!E$52*'Capital Costs'!F$47+'Cost Assumptions'!E$51*'O&amp;M Costs'!E$17,-3)</f>
        <v>5219000</v>
      </c>
      <c r="F18" s="397">
        <f>ROUND('Cost Assumptions'!F$52*'Capital Costs'!G$47+'Cost Assumptions'!F$51*'O&amp;M Costs'!F$17,-3)</f>
        <v>806000</v>
      </c>
      <c r="G18" s="397">
        <f>ROUND('Cost Assumptions'!G$52*'Capital Costs'!H$47+'Cost Assumptions'!G$51*'O&amp;M Costs'!G$17,-3)</f>
        <v>94000</v>
      </c>
      <c r="H18" s="397">
        <f>G18/('Cost Assumptions'!$G$12*1000)</f>
        <v>15.666666666666666</v>
      </c>
      <c r="I18" s="205"/>
      <c r="J18" s="423"/>
      <c r="K18" s="423"/>
      <c r="L18" s="200"/>
      <c r="M18" s="397">
        <f>ROUND('Cost Assumptions'!D$52*'Capital Costs'!M$47+'Cost Assumptions'!D$51*'O&amp;M Costs'!M$17,-3)</f>
        <v>2286000</v>
      </c>
      <c r="N18" s="397">
        <f>ROUND('Cost Assumptions'!E$52*'Capital Costs'!N$47+'Cost Assumptions'!E$51*'O&amp;M Costs'!N$17,-3)</f>
        <v>6066000</v>
      </c>
      <c r="O18" s="397">
        <f>ROUND('Cost Assumptions'!F$52*'Capital Costs'!O$47+'Cost Assumptions'!F$51*'O&amp;M Costs'!O$17,-3)</f>
        <v>922000</v>
      </c>
      <c r="P18" s="397">
        <f>ROUND('Cost Assumptions'!G$52*'Capital Costs'!P$47+'Cost Assumptions'!G$51*'O&amp;M Costs'!P$17,-3)</f>
        <v>78000</v>
      </c>
      <c r="Q18" s="397">
        <f>P18/('Cost Assumptions'!$G$12*1000)</f>
        <v>13</v>
      </c>
      <c r="R18" s="205"/>
      <c r="S18" s="210"/>
    </row>
    <row r="19" spans="2:19">
      <c r="B19" s="200" t="s">
        <v>171</v>
      </c>
      <c r="C19" s="200"/>
      <c r="D19" s="397">
        <f>ROUND('Cost Assumptions'!D$53*'Capital Costs'!E$47,-3)</f>
        <v>1581000</v>
      </c>
      <c r="E19" s="397">
        <f>ROUND('Cost Assumptions'!E$53*'Capital Costs'!F$47,-3)</f>
        <v>4173000</v>
      </c>
      <c r="F19" s="397">
        <f>ROUND('Cost Assumptions'!F$53*'Capital Costs'!G$47,-3)</f>
        <v>481000</v>
      </c>
      <c r="G19" s="397">
        <f>ROUND('Cost Assumptions'!G$53*'Capital Costs'!H$47,-3)</f>
        <v>57000</v>
      </c>
      <c r="H19" s="397">
        <f>G19/('Cost Assumptions'!$G$12*1000)</f>
        <v>9.5</v>
      </c>
      <c r="I19" s="205"/>
      <c r="J19" s="423"/>
      <c r="K19" s="423"/>
      <c r="L19" s="200"/>
      <c r="M19" s="397">
        <f>ROUND('Cost Assumptions'!D$53*'Capital Costs'!M$47,-3)</f>
        <v>1827000</v>
      </c>
      <c r="N19" s="397">
        <f>ROUND('Cost Assumptions'!E$53*'Capital Costs'!N$47,-3)</f>
        <v>4850000</v>
      </c>
      <c r="O19" s="397">
        <f>ROUND('Cost Assumptions'!F$53*'Capital Costs'!O$47,-3)</f>
        <v>551000</v>
      </c>
      <c r="P19" s="397">
        <f>ROUND('Cost Assumptions'!G$53*'Capital Costs'!P$47,-3)</f>
        <v>47000</v>
      </c>
      <c r="Q19" s="397">
        <f>P19/('Cost Assumptions'!$G$12*1000)</f>
        <v>7.833333333333333</v>
      </c>
      <c r="R19" s="205"/>
      <c r="S19" s="201"/>
    </row>
    <row r="20" spans="2:19">
      <c r="B20" s="256" t="s">
        <v>185</v>
      </c>
      <c r="C20" s="256"/>
      <c r="D20" s="250">
        <f>SUM(D14:D19)</f>
        <v>5274000</v>
      </c>
      <c r="E20" s="251">
        <f>SUM(E14:E19)</f>
        <v>17521000</v>
      </c>
      <c r="F20" s="250">
        <f>SUM(F14:F19)</f>
        <v>4152000</v>
      </c>
      <c r="G20" s="250">
        <f>SUM(G14:G19)</f>
        <v>321000</v>
      </c>
      <c r="H20" s="397">
        <f>G20/('Cost Assumptions'!$G$12*1000)</f>
        <v>53.5</v>
      </c>
      <c r="I20" s="204"/>
      <c r="J20" s="423"/>
      <c r="K20" s="423"/>
      <c r="L20" s="256"/>
      <c r="M20" s="250">
        <f>SUM(M14:M19)</f>
        <v>6118000</v>
      </c>
      <c r="N20" s="251">
        <f>SUM(N14:N19)</f>
        <v>20356000</v>
      </c>
      <c r="O20" s="250">
        <f>SUM(O14:O19)</f>
        <v>4759000</v>
      </c>
      <c r="P20" s="250">
        <f>SUM(P14:P19)</f>
        <v>322000</v>
      </c>
      <c r="Q20" s="397">
        <f>P20/('Cost Assumptions'!$G$12*1000)</f>
        <v>53.666666666666664</v>
      </c>
      <c r="R20" s="204"/>
      <c r="S20" s="201"/>
    </row>
    <row r="21" spans="2:19">
      <c r="B21" s="256" t="s">
        <v>186</v>
      </c>
      <c r="C21" s="256"/>
      <c r="D21" s="257">
        <f>+D20/('Cost Assumptions'!D12*1000)</f>
        <v>27.419908288361356</v>
      </c>
      <c r="E21" s="258">
        <f>+E20/('Cost Assumptions'!E12*1000)</f>
        <v>24.014528508771932</v>
      </c>
      <c r="F21" s="257">
        <f>+F20/('Cost Assumptions'!F12*1000)</f>
        <v>69.269269269269259</v>
      </c>
      <c r="G21" s="257">
        <f>+G20/('Cost Assumptions'!G12*1000)</f>
        <v>53.5</v>
      </c>
      <c r="H21" s="257"/>
      <c r="I21" s="211"/>
      <c r="J21" s="423"/>
      <c r="K21" s="424"/>
      <c r="L21" s="256"/>
      <c r="M21" s="257">
        <f>+M20/('Cost Assumptions'!D12*1000)</f>
        <v>31.807925466096847</v>
      </c>
      <c r="N21" s="257">
        <f>+N20/('Cost Assumptions'!E12*1000)</f>
        <v>27.900219298245613</v>
      </c>
      <c r="O21" s="257">
        <f>+O20/('Cost Assumptions'!F12*1000)</f>
        <v>79.39606272939605</v>
      </c>
      <c r="P21" s="257">
        <f>+P20/('Cost Assumptions'!G12*1000)</f>
        <v>53.666666666666664</v>
      </c>
      <c r="Q21" s="257"/>
      <c r="R21" s="211"/>
      <c r="S21" s="201"/>
    </row>
    <row r="22" spans="2:19" ht="6" customHeight="1">
      <c r="B22" s="239"/>
      <c r="C22" s="239"/>
      <c r="D22" s="259"/>
      <c r="E22" s="260"/>
      <c r="F22" s="259"/>
      <c r="G22" s="259"/>
      <c r="H22" s="259"/>
      <c r="I22" s="240"/>
      <c r="J22" s="390"/>
      <c r="K22" s="390"/>
      <c r="L22" s="239"/>
      <c r="M22" s="259"/>
      <c r="N22" s="260"/>
      <c r="O22" s="259"/>
      <c r="P22" s="259"/>
      <c r="Q22" s="259"/>
      <c r="R22" s="240"/>
      <c r="S22" s="241"/>
    </row>
    <row r="23" spans="2:19" ht="6" customHeight="1">
      <c r="B23" s="200"/>
      <c r="C23" s="200"/>
      <c r="D23" s="252"/>
      <c r="E23" s="253"/>
      <c r="F23" s="252"/>
      <c r="G23" s="252"/>
      <c r="H23" s="252"/>
      <c r="I23" s="202"/>
      <c r="J23" s="248"/>
      <c r="K23" s="248"/>
      <c r="L23" s="200"/>
      <c r="M23" s="252"/>
      <c r="N23" s="253"/>
      <c r="O23" s="252"/>
      <c r="P23" s="252"/>
      <c r="Q23" s="252"/>
      <c r="R23" s="202"/>
      <c r="S23" s="201"/>
    </row>
    <row r="24" spans="2:19">
      <c r="B24" s="207" t="s">
        <v>291</v>
      </c>
      <c r="C24" s="207"/>
      <c r="D24" s="252"/>
      <c r="E24" s="253"/>
      <c r="F24" s="252"/>
      <c r="G24" s="252"/>
      <c r="H24" s="252"/>
      <c r="I24" s="202"/>
      <c r="J24" s="248"/>
      <c r="K24" s="248"/>
      <c r="L24" s="207"/>
      <c r="M24" s="252"/>
      <c r="N24" s="253"/>
      <c r="O24" s="252"/>
      <c r="P24" s="252"/>
      <c r="Q24" s="252"/>
      <c r="R24" s="202"/>
      <c r="S24" s="201"/>
    </row>
    <row r="25" spans="2:19">
      <c r="B25" s="200" t="s">
        <v>172</v>
      </c>
      <c r="C25" s="200"/>
      <c r="D25" s="254">
        <v>2.86</v>
      </c>
      <c r="E25" s="254">
        <v>1.31</v>
      </c>
      <c r="F25" s="398" t="s">
        <v>124</v>
      </c>
      <c r="G25" s="398" t="s">
        <v>124</v>
      </c>
      <c r="H25" s="398"/>
      <c r="I25" s="212"/>
      <c r="J25" s="491">
        <f>'CONE Calcs'!Inflation+K25</f>
        <v>2.6499999999999999E-2</v>
      </c>
      <c r="K25" s="423">
        <v>4.0000000000000001E-3</v>
      </c>
      <c r="L25" s="200"/>
      <c r="M25" s="608">
        <f>D25*(1+$J25)^($N$1-$E$1)</f>
        <v>3.2595736747686153</v>
      </c>
      <c r="N25" s="608">
        <f>E25*(1+$J25)^($N$1-$E$1)</f>
        <v>1.4930215083730372</v>
      </c>
      <c r="O25" s="398" t="s">
        <v>124</v>
      </c>
      <c r="P25" s="398" t="s">
        <v>124</v>
      </c>
      <c r="Q25" s="398"/>
      <c r="R25" s="212"/>
      <c r="S25" s="201" t="s">
        <v>173</v>
      </c>
    </row>
    <row r="26" spans="2:19">
      <c r="B26" s="200" t="s">
        <v>174</v>
      </c>
      <c r="C26" s="200"/>
      <c r="D26" s="254">
        <v>2.52</v>
      </c>
      <c r="E26" s="254">
        <v>1.03</v>
      </c>
      <c r="F26" s="398" t="s">
        <v>124</v>
      </c>
      <c r="G26" s="398" t="s">
        <v>124</v>
      </c>
      <c r="H26" s="398"/>
      <c r="I26" s="213"/>
      <c r="J26" s="491">
        <f>'CONE Calcs'!Inflation+K26</f>
        <v>2.6499999999999999E-2</v>
      </c>
      <c r="K26" s="423">
        <v>4.0000000000000001E-3</v>
      </c>
      <c r="L26" s="200"/>
      <c r="M26" s="608">
        <f>D26*(1+$J26)^($N$1-$E$1)</f>
        <v>2.872071909236682</v>
      </c>
      <c r="N26" s="608">
        <f>E26*(1+$J26)^($N$1-$E$1)</f>
        <v>1.173902407346739</v>
      </c>
      <c r="O26" s="398" t="s">
        <v>124</v>
      </c>
      <c r="P26" s="398" t="s">
        <v>124</v>
      </c>
      <c r="Q26" s="398"/>
      <c r="R26" s="213"/>
      <c r="S26" s="201"/>
    </row>
    <row r="27" spans="2:19">
      <c r="B27" s="255" t="s">
        <v>292</v>
      </c>
      <c r="C27" s="255"/>
      <c r="D27" s="257">
        <f>SUM(D25:D26)</f>
        <v>5.38</v>
      </c>
      <c r="E27" s="258">
        <f>SUM(E25:E26)</f>
        <v>2.34</v>
      </c>
      <c r="F27" s="257">
        <f>SUM(F25:F26)</f>
        <v>0</v>
      </c>
      <c r="G27" s="257">
        <f>SUM(G25:G26)</f>
        <v>0</v>
      </c>
      <c r="H27" s="257"/>
      <c r="I27" s="211"/>
      <c r="J27" s="424"/>
      <c r="K27" s="424"/>
      <c r="L27" s="255"/>
      <c r="M27" s="257">
        <f>SUM(M25:M26)</f>
        <v>6.1316455840052972</v>
      </c>
      <c r="N27" s="257">
        <f>SUM(N25:N26)</f>
        <v>2.6669239157197762</v>
      </c>
      <c r="O27" s="257">
        <f>SUM(O25:O26)</f>
        <v>0</v>
      </c>
      <c r="P27" s="257">
        <f>SUM(P25:P26)</f>
        <v>0</v>
      </c>
      <c r="Q27" s="257"/>
      <c r="R27" s="211"/>
      <c r="S27" s="201"/>
    </row>
    <row r="28" spans="2:19" ht="38.25">
      <c r="B28" s="399" t="s">
        <v>175</v>
      </c>
      <c r="C28" s="399"/>
      <c r="D28" s="398" t="s">
        <v>124</v>
      </c>
      <c r="E28" s="253">
        <v>9164</v>
      </c>
      <c r="F28" s="398" t="s">
        <v>124</v>
      </c>
      <c r="G28" s="398" t="s">
        <v>124</v>
      </c>
      <c r="H28" s="398"/>
      <c r="I28" s="202"/>
      <c r="J28" s="491">
        <f>'CONE Calcs'!Inflation+K28</f>
        <v>2.6499999999999999E-2</v>
      </c>
      <c r="K28" s="423">
        <v>4.0000000000000001E-3</v>
      </c>
      <c r="L28" s="399"/>
      <c r="M28" s="398" t="s">
        <v>124</v>
      </c>
      <c r="N28" s="392">
        <f>E28*(1+$J28)^($N$1-$E$1)</f>
        <v>10444.312292160696</v>
      </c>
      <c r="O28" s="398" t="s">
        <v>124</v>
      </c>
      <c r="P28" s="398" t="s">
        <v>124</v>
      </c>
      <c r="Q28" s="398"/>
      <c r="R28" s="202"/>
      <c r="S28" s="201" t="s">
        <v>176</v>
      </c>
    </row>
    <row r="29" spans="2:19" ht="6" customHeight="1" thickBot="1">
      <c r="B29" s="232"/>
      <c r="C29" s="232"/>
      <c r="D29" s="233"/>
      <c r="E29" s="234"/>
      <c r="F29" s="233"/>
      <c r="G29" s="233"/>
      <c r="H29" s="233"/>
      <c r="I29" s="233"/>
      <c r="J29" s="170"/>
      <c r="K29" s="170"/>
      <c r="L29" s="232"/>
      <c r="M29" s="233"/>
      <c r="N29" s="234"/>
      <c r="O29" s="233"/>
      <c r="P29" s="233"/>
      <c r="Q29" s="233"/>
      <c r="R29" s="233"/>
      <c r="S29" s="235"/>
    </row>
    <row r="30" spans="2:19" ht="6" customHeight="1" thickTop="1">
      <c r="B30" s="198"/>
      <c r="C30" s="198"/>
      <c r="D30" s="214"/>
      <c r="E30" s="215"/>
      <c r="F30" s="214"/>
      <c r="G30" s="214"/>
      <c r="H30" s="214"/>
      <c r="I30" s="214"/>
      <c r="J30" s="426"/>
      <c r="K30" s="426"/>
      <c r="L30" s="198"/>
      <c r="M30" s="214"/>
      <c r="N30" s="215"/>
      <c r="O30" s="214"/>
      <c r="P30" s="214"/>
      <c r="Q30" s="214"/>
      <c r="R30" s="214"/>
      <c r="S30" s="201"/>
    </row>
    <row r="31" spans="2:19">
      <c r="B31" s="197"/>
      <c r="C31" s="197"/>
      <c r="D31" s="214"/>
      <c r="E31" s="215"/>
      <c r="F31" s="433"/>
      <c r="G31" s="433"/>
      <c r="H31" s="433"/>
      <c r="I31" s="214"/>
      <c r="J31" s="427"/>
      <c r="K31" s="427"/>
      <c r="L31" s="197"/>
      <c r="M31" s="214"/>
      <c r="N31" s="215"/>
      <c r="O31" s="433"/>
      <c r="P31" s="433"/>
      <c r="Q31" s="433"/>
      <c r="R31" s="214"/>
      <c r="S31" s="201"/>
    </row>
    <row r="32" spans="2:19">
      <c r="B32" s="200"/>
      <c r="C32" s="200"/>
      <c r="D32" s="225"/>
      <c r="E32" s="225"/>
      <c r="F32" s="225"/>
      <c r="G32" s="225"/>
      <c r="H32" s="1311"/>
      <c r="I32" s="214"/>
      <c r="J32" s="424"/>
      <c r="K32" s="1312"/>
      <c r="L32" s="200"/>
      <c r="M32" s="225"/>
      <c r="N32" s="225"/>
      <c r="O32" s="225"/>
      <c r="P32" s="225"/>
      <c r="Q32" s="435"/>
      <c r="S32" s="217"/>
    </row>
    <row r="33" spans="2:19">
      <c r="B33" s="1313"/>
      <c r="C33" s="200"/>
      <c r="D33" s="1311"/>
      <c r="E33" s="1311"/>
      <c r="F33" s="1311"/>
      <c r="G33" s="1311"/>
      <c r="H33" s="1311"/>
      <c r="I33" s="214"/>
      <c r="J33" s="423"/>
      <c r="K33" s="1314"/>
      <c r="L33" s="200"/>
      <c r="M33" s="1311"/>
      <c r="N33" s="1311"/>
      <c r="O33" s="1311"/>
      <c r="P33" s="1311"/>
      <c r="Q33" s="435"/>
      <c r="S33" s="217"/>
    </row>
    <row r="34" spans="2:19">
      <c r="B34" s="1313"/>
      <c r="C34" s="200"/>
      <c r="D34" s="1311"/>
      <c r="E34" s="1311"/>
      <c r="F34" s="1311"/>
      <c r="G34" s="1311"/>
      <c r="H34" s="202"/>
      <c r="I34" s="214"/>
      <c r="J34" s="423"/>
      <c r="K34" s="1314"/>
      <c r="L34" s="200"/>
      <c r="M34" s="1311"/>
      <c r="N34" s="1311"/>
      <c r="O34" s="1311"/>
      <c r="P34" s="1311"/>
      <c r="Q34" s="434"/>
      <c r="S34" s="217"/>
    </row>
    <row r="35" spans="2:19">
      <c r="B35" s="1313"/>
      <c r="C35" s="200"/>
      <c r="D35" s="1311"/>
      <c r="E35" s="1311"/>
      <c r="F35" s="1311"/>
      <c r="G35" s="1311"/>
      <c r="H35" s="1315"/>
      <c r="I35" s="214"/>
      <c r="J35" s="421"/>
      <c r="K35" s="1314"/>
      <c r="L35" s="200"/>
      <c r="M35" s="1311"/>
      <c r="N35" s="1311"/>
      <c r="O35" s="1311"/>
      <c r="P35" s="1311"/>
      <c r="Q35" s="435"/>
      <c r="S35" s="217"/>
    </row>
    <row r="36" spans="2:19">
      <c r="B36" s="216"/>
      <c r="C36" s="216"/>
      <c r="E36" s="219"/>
      <c r="J36" s="421"/>
      <c r="K36" s="421"/>
      <c r="L36" s="216"/>
      <c r="N36" s="219"/>
      <c r="S36" s="217"/>
    </row>
    <row r="37" spans="2:19">
      <c r="B37" s="216"/>
      <c r="C37" s="216"/>
      <c r="E37" s="219"/>
      <c r="F37" s="435"/>
      <c r="G37" s="435"/>
      <c r="H37" s="435"/>
      <c r="J37" s="421"/>
      <c r="K37" s="421"/>
      <c r="L37" s="216"/>
      <c r="N37" s="219"/>
      <c r="O37" s="435"/>
      <c r="P37" s="435"/>
      <c r="Q37" s="435"/>
      <c r="S37" s="217"/>
    </row>
    <row r="38" spans="2:19">
      <c r="E38" s="219"/>
      <c r="F38" s="435"/>
      <c r="G38" s="435"/>
      <c r="H38" s="435"/>
      <c r="J38" s="422"/>
      <c r="K38" s="422"/>
      <c r="N38" s="219"/>
      <c r="O38" s="435"/>
      <c r="P38" s="435"/>
      <c r="Q38" s="435"/>
      <c r="S38" s="217"/>
    </row>
    <row r="39" spans="2:19">
      <c r="E39" s="219"/>
      <c r="J39" s="244"/>
      <c r="K39" s="244"/>
      <c r="N39" s="219"/>
    </row>
    <row r="40" spans="2:19">
      <c r="E40" s="219"/>
      <c r="J40" s="244"/>
      <c r="K40" s="244"/>
      <c r="N40" s="219"/>
    </row>
    <row r="41" spans="2:19">
      <c r="E41" s="219"/>
      <c r="J41" s="248"/>
      <c r="K41" s="248"/>
      <c r="N41" s="219"/>
    </row>
    <row r="42" spans="2:19">
      <c r="E42" s="219"/>
      <c r="J42" s="195"/>
      <c r="K42" s="195"/>
    </row>
    <row r="43" spans="2:19">
      <c r="E43" s="219"/>
      <c r="J43" s="195"/>
      <c r="K43" s="195"/>
      <c r="N43" s="219"/>
    </row>
    <row r="44" spans="2:19">
      <c r="E44" s="219"/>
      <c r="J44" s="195"/>
      <c r="K44" s="195"/>
      <c r="N44" s="219"/>
    </row>
    <row r="45" spans="2:19">
      <c r="E45" s="219"/>
      <c r="J45" s="195"/>
      <c r="K45" s="195"/>
      <c r="N45" s="219"/>
    </row>
    <row r="46" spans="2:19">
      <c r="E46" s="219"/>
      <c r="J46" s="195"/>
      <c r="K46" s="195"/>
      <c r="N46" s="219"/>
    </row>
    <row r="47" spans="2:19">
      <c r="E47" s="219"/>
      <c r="J47" s="156"/>
      <c r="K47" s="156"/>
      <c r="N47" s="219"/>
    </row>
    <row r="48" spans="2:19">
      <c r="E48" s="219"/>
      <c r="J48" s="145"/>
      <c r="K48" s="145"/>
      <c r="N48" s="219"/>
    </row>
    <row r="49" spans="2:101" s="194" customFormat="1">
      <c r="B49" s="195"/>
      <c r="C49" s="195"/>
      <c r="E49" s="219"/>
      <c r="J49" s="145"/>
      <c r="K49" s="145"/>
      <c r="L49" s="195"/>
      <c r="N49" s="219"/>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c r="CD49" s="195"/>
      <c r="CE49" s="195"/>
      <c r="CF49" s="195"/>
      <c r="CG49" s="195"/>
      <c r="CH49" s="195"/>
      <c r="CI49" s="195"/>
      <c r="CJ49" s="195"/>
      <c r="CK49" s="195"/>
      <c r="CL49" s="195"/>
      <c r="CM49" s="195"/>
      <c r="CN49" s="195"/>
      <c r="CO49" s="195"/>
      <c r="CP49" s="195"/>
      <c r="CQ49" s="195"/>
      <c r="CR49" s="195"/>
      <c r="CS49" s="195"/>
      <c r="CT49" s="195"/>
      <c r="CU49" s="195"/>
      <c r="CV49" s="195"/>
      <c r="CW49" s="195"/>
    </row>
    <row r="50" spans="2:101" s="194" customFormat="1">
      <c r="B50" s="195"/>
      <c r="C50" s="195"/>
      <c r="E50" s="219"/>
      <c r="J50" s="145"/>
      <c r="K50" s="145"/>
      <c r="L50" s="195"/>
      <c r="N50" s="219"/>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c r="CD50" s="195"/>
      <c r="CE50" s="195"/>
      <c r="CF50" s="195"/>
      <c r="CG50" s="195"/>
      <c r="CH50" s="195"/>
      <c r="CI50" s="195"/>
      <c r="CJ50" s="195"/>
      <c r="CK50" s="195"/>
      <c r="CL50" s="195"/>
      <c r="CM50" s="195"/>
      <c r="CN50" s="195"/>
      <c r="CO50" s="195"/>
      <c r="CP50" s="195"/>
      <c r="CQ50" s="195"/>
      <c r="CR50" s="195"/>
      <c r="CS50" s="195"/>
      <c r="CT50" s="195"/>
      <c r="CU50" s="195"/>
      <c r="CV50" s="195"/>
      <c r="CW50" s="195"/>
    </row>
    <row r="51" spans="2:101" s="194" customFormat="1">
      <c r="B51" s="195"/>
      <c r="C51" s="195"/>
      <c r="E51" s="219"/>
      <c r="J51" s="145"/>
      <c r="K51" s="145"/>
      <c r="L51" s="195"/>
      <c r="N51" s="219"/>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c r="CD51" s="195"/>
      <c r="CE51" s="195"/>
      <c r="CF51" s="195"/>
      <c r="CG51" s="195"/>
      <c r="CH51" s="195"/>
      <c r="CI51" s="195"/>
      <c r="CJ51" s="195"/>
      <c r="CK51" s="195"/>
      <c r="CL51" s="195"/>
      <c r="CM51" s="195"/>
      <c r="CN51" s="195"/>
      <c r="CO51" s="195"/>
      <c r="CP51" s="195"/>
      <c r="CQ51" s="195"/>
      <c r="CR51" s="195"/>
      <c r="CS51" s="195"/>
      <c r="CT51" s="195"/>
      <c r="CU51" s="195"/>
      <c r="CV51" s="195"/>
      <c r="CW51" s="195"/>
    </row>
    <row r="52" spans="2:101" s="194" customFormat="1">
      <c r="B52" s="195"/>
      <c r="C52" s="195"/>
      <c r="E52" s="219"/>
      <c r="J52" s="145"/>
      <c r="K52" s="145"/>
      <c r="L52" s="195"/>
      <c r="N52" s="219"/>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5"/>
      <c r="BR52" s="195"/>
      <c r="BS52" s="195"/>
      <c r="BT52" s="195"/>
      <c r="BU52" s="195"/>
      <c r="BV52" s="195"/>
      <c r="BW52" s="195"/>
      <c r="BX52" s="195"/>
      <c r="BY52" s="195"/>
      <c r="BZ52" s="195"/>
      <c r="CA52" s="195"/>
      <c r="CB52" s="195"/>
      <c r="CC52" s="195"/>
      <c r="CD52" s="195"/>
      <c r="CE52" s="195"/>
      <c r="CF52" s="195"/>
      <c r="CG52" s="195"/>
      <c r="CH52" s="195"/>
      <c r="CI52" s="195"/>
      <c r="CJ52" s="195"/>
      <c r="CK52" s="195"/>
      <c r="CL52" s="195"/>
      <c r="CM52" s="195"/>
      <c r="CN52" s="195"/>
      <c r="CO52" s="195"/>
      <c r="CP52" s="195"/>
      <c r="CQ52" s="195"/>
      <c r="CR52" s="195"/>
      <c r="CS52" s="195"/>
      <c r="CT52" s="195"/>
      <c r="CU52" s="195"/>
      <c r="CV52" s="195"/>
      <c r="CW52" s="195"/>
    </row>
    <row r="53" spans="2:101" s="194" customFormat="1">
      <c r="B53" s="195"/>
      <c r="C53" s="195"/>
      <c r="E53" s="219"/>
      <c r="J53" s="145"/>
      <c r="K53" s="145"/>
      <c r="L53" s="195"/>
      <c r="N53" s="219"/>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c r="CD53" s="195"/>
      <c r="CE53" s="195"/>
      <c r="CF53" s="195"/>
      <c r="CG53" s="195"/>
      <c r="CH53" s="195"/>
      <c r="CI53" s="195"/>
      <c r="CJ53" s="195"/>
      <c r="CK53" s="195"/>
      <c r="CL53" s="195"/>
      <c r="CM53" s="195"/>
      <c r="CN53" s="195"/>
      <c r="CO53" s="195"/>
      <c r="CP53" s="195"/>
      <c r="CQ53" s="195"/>
      <c r="CR53" s="195"/>
      <c r="CS53" s="195"/>
      <c r="CT53" s="195"/>
      <c r="CU53" s="195"/>
      <c r="CV53" s="195"/>
      <c r="CW53" s="195"/>
    </row>
    <row r="54" spans="2:101" s="194" customFormat="1">
      <c r="B54" s="195"/>
      <c r="C54" s="195"/>
      <c r="E54" s="219"/>
      <c r="J54" s="145"/>
      <c r="K54" s="145"/>
      <c r="L54" s="195"/>
      <c r="N54" s="219"/>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195"/>
      <c r="BU54" s="195"/>
      <c r="BV54" s="195"/>
      <c r="BW54" s="195"/>
      <c r="BX54" s="195"/>
      <c r="BY54" s="195"/>
      <c r="BZ54" s="195"/>
      <c r="CA54" s="195"/>
      <c r="CB54" s="195"/>
      <c r="CC54" s="195"/>
      <c r="CD54" s="195"/>
      <c r="CE54" s="195"/>
      <c r="CF54" s="195"/>
      <c r="CG54" s="195"/>
      <c r="CH54" s="195"/>
      <c r="CI54" s="195"/>
      <c r="CJ54" s="195"/>
      <c r="CK54" s="195"/>
      <c r="CL54" s="195"/>
      <c r="CM54" s="195"/>
      <c r="CN54" s="195"/>
      <c r="CO54" s="195"/>
      <c r="CP54" s="195"/>
      <c r="CQ54" s="195"/>
      <c r="CR54" s="195"/>
      <c r="CS54" s="195"/>
      <c r="CT54" s="195"/>
      <c r="CU54" s="195"/>
      <c r="CV54" s="195"/>
      <c r="CW54" s="195"/>
    </row>
    <row r="55" spans="2:101" s="194" customFormat="1">
      <c r="B55" s="195"/>
      <c r="C55" s="195"/>
      <c r="E55" s="219"/>
      <c r="J55"/>
      <c r="K55"/>
      <c r="L55" s="195"/>
      <c r="N55" s="219"/>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c r="CD55" s="195"/>
      <c r="CE55" s="195"/>
      <c r="CF55" s="195"/>
      <c r="CG55" s="195"/>
      <c r="CH55" s="195"/>
      <c r="CI55" s="195"/>
      <c r="CJ55" s="195"/>
      <c r="CK55" s="195"/>
      <c r="CL55" s="195"/>
      <c r="CM55" s="195"/>
      <c r="CN55" s="195"/>
      <c r="CO55" s="195"/>
      <c r="CP55" s="195"/>
      <c r="CQ55" s="195"/>
      <c r="CR55" s="195"/>
      <c r="CS55" s="195"/>
      <c r="CT55" s="195"/>
      <c r="CU55" s="195"/>
      <c r="CV55" s="195"/>
      <c r="CW55" s="195"/>
    </row>
    <row r="56" spans="2:101" s="194" customFormat="1">
      <c r="B56" s="195"/>
      <c r="C56" s="195"/>
      <c r="E56" s="219"/>
      <c r="J56"/>
      <c r="K56"/>
      <c r="L56" s="195"/>
      <c r="N56" s="219"/>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195"/>
      <c r="CQ56" s="195"/>
      <c r="CR56" s="195"/>
      <c r="CS56" s="195"/>
      <c r="CT56" s="195"/>
      <c r="CU56" s="195"/>
      <c r="CV56" s="195"/>
      <c r="CW56" s="195"/>
    </row>
    <row r="57" spans="2:101" s="194" customFormat="1">
      <c r="B57" s="195"/>
      <c r="C57" s="195"/>
      <c r="E57" s="219"/>
      <c r="J57"/>
      <c r="K57"/>
      <c r="L57" s="195"/>
      <c r="N57" s="219"/>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c r="CR57" s="195"/>
      <c r="CS57" s="195"/>
      <c r="CT57" s="195"/>
      <c r="CU57" s="195"/>
      <c r="CV57" s="195"/>
      <c r="CW57" s="195"/>
    </row>
    <row r="58" spans="2:101" s="194" customFormat="1">
      <c r="B58" s="195"/>
      <c r="C58" s="195"/>
      <c r="E58" s="219"/>
      <c r="J58"/>
      <c r="K58"/>
      <c r="L58" s="195"/>
      <c r="N58" s="219"/>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5"/>
      <c r="BR58" s="195"/>
      <c r="BS58" s="195"/>
      <c r="BT58" s="195"/>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c r="CR58" s="195"/>
      <c r="CS58" s="195"/>
      <c r="CT58" s="195"/>
      <c r="CU58" s="195"/>
      <c r="CV58" s="195"/>
      <c r="CW58" s="195"/>
    </row>
    <row r="59" spans="2:101" s="194" customFormat="1">
      <c r="B59" s="195"/>
      <c r="C59" s="195"/>
      <c r="E59" s="219"/>
      <c r="J59"/>
      <c r="K59"/>
      <c r="L59" s="195"/>
      <c r="N59" s="219"/>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c r="BM59" s="195"/>
      <c r="BN59" s="195"/>
      <c r="BO59" s="195"/>
      <c r="BP59" s="195"/>
      <c r="BQ59" s="195"/>
      <c r="BR59" s="195"/>
      <c r="BS59" s="195"/>
      <c r="BT59" s="195"/>
      <c r="BU59" s="195"/>
      <c r="BV59" s="195"/>
      <c r="BW59" s="195"/>
      <c r="BX59" s="195"/>
      <c r="BY59" s="195"/>
      <c r="BZ59" s="195"/>
      <c r="CA59" s="195"/>
      <c r="CB59" s="195"/>
      <c r="CC59" s="195"/>
      <c r="CD59" s="195"/>
      <c r="CE59" s="195"/>
      <c r="CF59" s="195"/>
      <c r="CG59" s="195"/>
      <c r="CH59" s="195"/>
      <c r="CI59" s="195"/>
      <c r="CJ59" s="195"/>
      <c r="CK59" s="195"/>
      <c r="CL59" s="195"/>
      <c r="CM59" s="195"/>
      <c r="CN59" s="195"/>
      <c r="CO59" s="195"/>
      <c r="CP59" s="195"/>
      <c r="CQ59" s="195"/>
      <c r="CR59" s="195"/>
      <c r="CS59" s="195"/>
      <c r="CT59" s="195"/>
      <c r="CU59" s="195"/>
      <c r="CV59" s="195"/>
      <c r="CW59" s="195"/>
    </row>
    <row r="60" spans="2:101" s="194" customFormat="1">
      <c r="B60" s="195"/>
      <c r="C60" s="195"/>
      <c r="E60" s="219"/>
      <c r="J60"/>
      <c r="K60"/>
      <c r="L60" s="195"/>
      <c r="N60" s="219"/>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5"/>
      <c r="BR60" s="195"/>
      <c r="BS60" s="195"/>
      <c r="BT60" s="195"/>
      <c r="BU60" s="195"/>
      <c r="BV60" s="195"/>
      <c r="BW60" s="195"/>
      <c r="BX60" s="195"/>
      <c r="BY60" s="195"/>
      <c r="BZ60" s="195"/>
      <c r="CA60" s="195"/>
      <c r="CB60" s="195"/>
      <c r="CC60" s="195"/>
      <c r="CD60" s="195"/>
      <c r="CE60" s="195"/>
      <c r="CF60" s="195"/>
      <c r="CG60" s="195"/>
      <c r="CH60" s="195"/>
      <c r="CI60" s="195"/>
      <c r="CJ60" s="195"/>
      <c r="CK60" s="195"/>
      <c r="CL60" s="195"/>
      <c r="CM60" s="195"/>
      <c r="CN60" s="195"/>
      <c r="CO60" s="195"/>
      <c r="CP60" s="195"/>
      <c r="CQ60" s="195"/>
      <c r="CR60" s="195"/>
      <c r="CS60" s="195"/>
      <c r="CT60" s="195"/>
      <c r="CU60" s="195"/>
      <c r="CV60" s="195"/>
      <c r="CW60" s="195"/>
    </row>
    <row r="61" spans="2:101" s="194" customFormat="1">
      <c r="B61" s="195"/>
      <c r="C61" s="195"/>
      <c r="E61" s="219"/>
      <c r="J61"/>
      <c r="K61"/>
      <c r="L61" s="195"/>
      <c r="N61" s="219"/>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c r="BM61" s="195"/>
      <c r="BN61" s="195"/>
      <c r="BO61" s="195"/>
      <c r="BP61" s="195"/>
      <c r="BQ61" s="195"/>
      <c r="BR61" s="195"/>
      <c r="BS61" s="195"/>
      <c r="BT61" s="195"/>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c r="CT61" s="195"/>
      <c r="CU61" s="195"/>
      <c r="CV61" s="195"/>
      <c r="CW61" s="195"/>
    </row>
    <row r="62" spans="2:101" s="194" customFormat="1">
      <c r="B62" s="195"/>
      <c r="C62" s="195"/>
      <c r="E62" s="219"/>
      <c r="J62"/>
      <c r="K62"/>
      <c r="L62" s="195"/>
      <c r="N62" s="219"/>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c r="BM62" s="195"/>
      <c r="BN62" s="195"/>
      <c r="BO62" s="195"/>
      <c r="BP62" s="195"/>
      <c r="BQ62" s="195"/>
      <c r="BR62" s="195"/>
      <c r="BS62" s="195"/>
      <c r="BT62" s="195"/>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c r="CT62" s="195"/>
      <c r="CU62" s="195"/>
      <c r="CV62" s="195"/>
      <c r="CW62" s="195"/>
    </row>
    <row r="63" spans="2:101" s="194" customFormat="1">
      <c r="B63" s="195"/>
      <c r="C63" s="195"/>
      <c r="E63" s="219"/>
      <c r="J63"/>
      <c r="K63"/>
      <c r="L63" s="195"/>
      <c r="N63" s="219"/>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5"/>
      <c r="CC63" s="195"/>
      <c r="CD63" s="195"/>
      <c r="CE63" s="195"/>
      <c r="CF63" s="195"/>
      <c r="CG63" s="195"/>
      <c r="CH63" s="195"/>
      <c r="CI63" s="195"/>
      <c r="CJ63" s="195"/>
      <c r="CK63" s="195"/>
      <c r="CL63" s="195"/>
      <c r="CM63" s="195"/>
      <c r="CN63" s="195"/>
      <c r="CO63" s="195"/>
      <c r="CP63" s="195"/>
      <c r="CQ63" s="195"/>
      <c r="CR63" s="195"/>
      <c r="CS63" s="195"/>
      <c r="CT63" s="195"/>
      <c r="CU63" s="195"/>
      <c r="CV63" s="195"/>
      <c r="CW63" s="195"/>
    </row>
    <row r="64" spans="2:101" s="194" customFormat="1">
      <c r="B64" s="195"/>
      <c r="C64" s="195"/>
      <c r="E64" s="219"/>
      <c r="J64"/>
      <c r="K64"/>
      <c r="L64" s="195"/>
      <c r="N64" s="219"/>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5"/>
      <c r="CC64" s="195"/>
      <c r="CD64" s="195"/>
      <c r="CE64" s="195"/>
      <c r="CF64" s="195"/>
      <c r="CG64" s="195"/>
      <c r="CH64" s="195"/>
      <c r="CI64" s="195"/>
      <c r="CJ64" s="195"/>
      <c r="CK64" s="195"/>
      <c r="CL64" s="195"/>
      <c r="CM64" s="195"/>
      <c r="CN64" s="195"/>
      <c r="CO64" s="195"/>
      <c r="CP64" s="195"/>
      <c r="CQ64" s="195"/>
      <c r="CR64" s="195"/>
      <c r="CS64" s="195"/>
      <c r="CT64" s="195"/>
      <c r="CU64" s="195"/>
      <c r="CV64" s="195"/>
      <c r="CW64" s="195"/>
    </row>
    <row r="65" spans="2:101" s="194" customFormat="1">
      <c r="B65" s="195"/>
      <c r="C65" s="195"/>
      <c r="E65" s="219"/>
      <c r="J65"/>
      <c r="K65"/>
      <c r="L65" s="195"/>
      <c r="N65" s="219"/>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5"/>
      <c r="CC65" s="195"/>
      <c r="CD65" s="195"/>
      <c r="CE65" s="195"/>
      <c r="CF65" s="195"/>
      <c r="CG65" s="195"/>
      <c r="CH65" s="195"/>
      <c r="CI65" s="195"/>
      <c r="CJ65" s="195"/>
      <c r="CK65" s="195"/>
      <c r="CL65" s="195"/>
      <c r="CM65" s="195"/>
      <c r="CN65" s="195"/>
      <c r="CO65" s="195"/>
      <c r="CP65" s="195"/>
      <c r="CQ65" s="195"/>
      <c r="CR65" s="195"/>
      <c r="CS65" s="195"/>
      <c r="CT65" s="195"/>
      <c r="CU65" s="195"/>
      <c r="CV65" s="195"/>
      <c r="CW65" s="195"/>
    </row>
    <row r="66" spans="2:101" s="194" customFormat="1">
      <c r="B66" s="195"/>
      <c r="C66" s="195"/>
      <c r="E66" s="219"/>
      <c r="J66"/>
      <c r="K66"/>
      <c r="L66" s="195"/>
      <c r="N66" s="219"/>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c r="CR66" s="195"/>
      <c r="CS66" s="195"/>
      <c r="CT66" s="195"/>
      <c r="CU66" s="195"/>
      <c r="CV66" s="195"/>
      <c r="CW66" s="195"/>
    </row>
    <row r="67" spans="2:101" s="194" customFormat="1">
      <c r="B67" s="195"/>
      <c r="C67" s="195"/>
      <c r="E67" s="219"/>
      <c r="J67"/>
      <c r="K67"/>
      <c r="L67" s="195"/>
      <c r="N67" s="219"/>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c r="CT67" s="195"/>
      <c r="CU67" s="195"/>
      <c r="CV67" s="195"/>
      <c r="CW67" s="195"/>
    </row>
    <row r="68" spans="2:101" s="194" customFormat="1">
      <c r="B68" s="195"/>
      <c r="C68" s="195"/>
      <c r="E68" s="219"/>
      <c r="J68"/>
      <c r="K68"/>
      <c r="L68" s="195"/>
      <c r="N68" s="219"/>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c r="CT68" s="195"/>
      <c r="CU68" s="195"/>
      <c r="CV68" s="195"/>
      <c r="CW68" s="195"/>
    </row>
    <row r="69" spans="2:101" s="194" customFormat="1">
      <c r="B69" s="195"/>
      <c r="C69" s="195"/>
      <c r="E69" s="219"/>
      <c r="J69"/>
      <c r="K69"/>
      <c r="L69" s="195"/>
      <c r="N69" s="219"/>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c r="CA69" s="195"/>
      <c r="CB69" s="195"/>
      <c r="CC69" s="195"/>
      <c r="CD69" s="195"/>
      <c r="CE69" s="195"/>
      <c r="CF69" s="195"/>
      <c r="CG69" s="195"/>
      <c r="CH69" s="195"/>
      <c r="CI69" s="195"/>
      <c r="CJ69" s="195"/>
      <c r="CK69" s="195"/>
      <c r="CL69" s="195"/>
      <c r="CM69" s="195"/>
      <c r="CN69" s="195"/>
      <c r="CO69" s="195"/>
      <c r="CP69" s="195"/>
      <c r="CQ69" s="195"/>
      <c r="CR69" s="195"/>
      <c r="CS69" s="195"/>
      <c r="CT69" s="195"/>
      <c r="CU69" s="195"/>
      <c r="CV69" s="195"/>
      <c r="CW69" s="195"/>
    </row>
    <row r="70" spans="2:101" s="194" customFormat="1">
      <c r="B70" s="195"/>
      <c r="C70" s="195"/>
      <c r="E70" s="219"/>
      <c r="J70"/>
      <c r="K70"/>
      <c r="L70" s="195"/>
      <c r="N70" s="219"/>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5"/>
      <c r="BR70" s="195"/>
      <c r="BS70" s="195"/>
      <c r="BT70" s="195"/>
      <c r="BU70" s="195"/>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c r="CR70" s="195"/>
      <c r="CS70" s="195"/>
      <c r="CT70" s="195"/>
      <c r="CU70" s="195"/>
      <c r="CV70" s="195"/>
      <c r="CW70" s="195"/>
    </row>
    <row r="71" spans="2:101" s="194" customFormat="1">
      <c r="B71" s="195"/>
      <c r="C71" s="195"/>
      <c r="E71" s="219"/>
      <c r="J71"/>
      <c r="K71"/>
      <c r="L71" s="195"/>
      <c r="N71" s="219"/>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5"/>
      <c r="BR71" s="195"/>
      <c r="BS71" s="195"/>
      <c r="BT71" s="195"/>
      <c r="BU71" s="195"/>
      <c r="BV71" s="195"/>
      <c r="BW71" s="195"/>
      <c r="BX71" s="195"/>
      <c r="BY71" s="195"/>
      <c r="BZ71" s="195"/>
      <c r="CA71" s="195"/>
      <c r="CB71" s="195"/>
      <c r="CC71" s="195"/>
      <c r="CD71" s="195"/>
      <c r="CE71" s="195"/>
      <c r="CF71" s="195"/>
      <c r="CG71" s="195"/>
      <c r="CH71" s="195"/>
      <c r="CI71" s="195"/>
      <c r="CJ71" s="195"/>
      <c r="CK71" s="195"/>
      <c r="CL71" s="195"/>
      <c r="CM71" s="195"/>
      <c r="CN71" s="195"/>
      <c r="CO71" s="195"/>
      <c r="CP71" s="195"/>
      <c r="CQ71" s="195"/>
      <c r="CR71" s="195"/>
      <c r="CS71" s="195"/>
      <c r="CT71" s="195"/>
      <c r="CU71" s="195"/>
      <c r="CV71" s="195"/>
      <c r="CW71" s="195"/>
    </row>
    <row r="72" spans="2:101" s="194" customFormat="1">
      <c r="B72" s="195"/>
      <c r="C72" s="195"/>
      <c r="E72" s="219"/>
      <c r="J72"/>
      <c r="K72"/>
      <c r="L72" s="195"/>
      <c r="N72" s="219"/>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c r="CS72" s="195"/>
      <c r="CT72" s="195"/>
      <c r="CU72" s="195"/>
      <c r="CV72" s="195"/>
      <c r="CW72" s="195"/>
    </row>
    <row r="73" spans="2:101" s="194" customFormat="1">
      <c r="B73" s="195"/>
      <c r="C73" s="195"/>
      <c r="E73" s="219"/>
      <c r="J73"/>
      <c r="K73"/>
      <c r="L73" s="195"/>
      <c r="N73" s="219"/>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c r="BS73" s="195"/>
      <c r="BT73" s="195"/>
      <c r="BU73" s="195"/>
      <c r="BV73" s="195"/>
      <c r="BW73" s="195"/>
      <c r="BX73" s="195"/>
      <c r="BY73" s="195"/>
      <c r="BZ73" s="195"/>
      <c r="CA73" s="195"/>
      <c r="CB73" s="195"/>
      <c r="CC73" s="195"/>
      <c r="CD73" s="195"/>
      <c r="CE73" s="195"/>
      <c r="CF73" s="195"/>
      <c r="CG73" s="195"/>
      <c r="CH73" s="195"/>
      <c r="CI73" s="195"/>
      <c r="CJ73" s="195"/>
      <c r="CK73" s="195"/>
      <c r="CL73" s="195"/>
      <c r="CM73" s="195"/>
      <c r="CN73" s="195"/>
      <c r="CO73" s="195"/>
      <c r="CP73" s="195"/>
      <c r="CQ73" s="195"/>
      <c r="CR73" s="195"/>
      <c r="CS73" s="195"/>
      <c r="CT73" s="195"/>
      <c r="CU73" s="195"/>
      <c r="CV73" s="195"/>
      <c r="CW73" s="195"/>
    </row>
    <row r="74" spans="2:101" s="194" customFormat="1">
      <c r="B74" s="195"/>
      <c r="C74" s="195"/>
      <c r="E74" s="219"/>
      <c r="J74"/>
      <c r="K74"/>
      <c r="L74" s="195"/>
      <c r="N74" s="219"/>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c r="CA74" s="195"/>
      <c r="CB74" s="195"/>
      <c r="CC74" s="195"/>
      <c r="CD74" s="195"/>
      <c r="CE74" s="195"/>
      <c r="CF74" s="195"/>
      <c r="CG74" s="195"/>
      <c r="CH74" s="195"/>
      <c r="CI74" s="195"/>
      <c r="CJ74" s="195"/>
      <c r="CK74" s="195"/>
      <c r="CL74" s="195"/>
      <c r="CM74" s="195"/>
      <c r="CN74" s="195"/>
      <c r="CO74" s="195"/>
      <c r="CP74" s="195"/>
      <c r="CQ74" s="195"/>
      <c r="CR74" s="195"/>
      <c r="CS74" s="195"/>
      <c r="CT74" s="195"/>
      <c r="CU74" s="195"/>
      <c r="CV74" s="195"/>
      <c r="CW74" s="195"/>
    </row>
    <row r="75" spans="2:101" s="194" customFormat="1">
      <c r="B75" s="195"/>
      <c r="C75" s="195"/>
      <c r="E75" s="219"/>
      <c r="J75"/>
      <c r="K75"/>
      <c r="L75" s="195"/>
      <c r="N75" s="219"/>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5"/>
      <c r="CC75" s="195"/>
      <c r="CD75" s="195"/>
      <c r="CE75" s="195"/>
      <c r="CF75" s="195"/>
      <c r="CG75" s="195"/>
      <c r="CH75" s="195"/>
      <c r="CI75" s="195"/>
      <c r="CJ75" s="195"/>
      <c r="CK75" s="195"/>
      <c r="CL75" s="195"/>
      <c r="CM75" s="195"/>
      <c r="CN75" s="195"/>
      <c r="CO75" s="195"/>
      <c r="CP75" s="195"/>
      <c r="CQ75" s="195"/>
      <c r="CR75" s="195"/>
      <c r="CS75" s="195"/>
      <c r="CT75" s="195"/>
      <c r="CU75" s="195"/>
      <c r="CV75" s="195"/>
      <c r="CW75" s="195"/>
    </row>
    <row r="76" spans="2:101" s="194" customFormat="1">
      <c r="B76" s="195"/>
      <c r="C76" s="195"/>
      <c r="E76" s="219"/>
      <c r="J76"/>
      <c r="K76"/>
      <c r="L76" s="195"/>
      <c r="N76" s="219"/>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5"/>
      <c r="CC76" s="195"/>
      <c r="CD76" s="195"/>
      <c r="CE76" s="195"/>
      <c r="CF76" s="195"/>
      <c r="CG76" s="195"/>
      <c r="CH76" s="195"/>
      <c r="CI76" s="195"/>
      <c r="CJ76" s="195"/>
      <c r="CK76" s="195"/>
      <c r="CL76" s="195"/>
      <c r="CM76" s="195"/>
      <c r="CN76" s="195"/>
      <c r="CO76" s="195"/>
      <c r="CP76" s="195"/>
      <c r="CQ76" s="195"/>
      <c r="CR76" s="195"/>
      <c r="CS76" s="195"/>
      <c r="CT76" s="195"/>
      <c r="CU76" s="195"/>
      <c r="CV76" s="195"/>
      <c r="CW76" s="195"/>
    </row>
    <row r="77" spans="2:101" s="194" customFormat="1">
      <c r="B77" s="195"/>
      <c r="C77" s="195"/>
      <c r="E77" s="219"/>
      <c r="J77"/>
      <c r="K77"/>
      <c r="L77" s="195"/>
      <c r="N77" s="219"/>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5"/>
      <c r="CC77" s="195"/>
      <c r="CD77" s="195"/>
      <c r="CE77" s="195"/>
      <c r="CF77" s="195"/>
      <c r="CG77" s="195"/>
      <c r="CH77" s="195"/>
      <c r="CI77" s="195"/>
      <c r="CJ77" s="195"/>
      <c r="CK77" s="195"/>
      <c r="CL77" s="195"/>
      <c r="CM77" s="195"/>
      <c r="CN77" s="195"/>
      <c r="CO77" s="195"/>
      <c r="CP77" s="195"/>
      <c r="CQ77" s="195"/>
      <c r="CR77" s="195"/>
      <c r="CS77" s="195"/>
      <c r="CT77" s="195"/>
      <c r="CU77" s="195"/>
      <c r="CV77" s="195"/>
      <c r="CW77" s="195"/>
    </row>
    <row r="78" spans="2:101" s="194" customFormat="1">
      <c r="B78" s="195"/>
      <c r="C78" s="195"/>
      <c r="E78" s="219"/>
      <c r="J78"/>
      <c r="K78"/>
      <c r="L78" s="195"/>
      <c r="N78" s="219"/>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5"/>
      <c r="CC78" s="195"/>
      <c r="CD78" s="195"/>
      <c r="CE78" s="195"/>
      <c r="CF78" s="195"/>
      <c r="CG78" s="195"/>
      <c r="CH78" s="195"/>
      <c r="CI78" s="195"/>
      <c r="CJ78" s="195"/>
      <c r="CK78" s="195"/>
      <c r="CL78" s="195"/>
      <c r="CM78" s="195"/>
      <c r="CN78" s="195"/>
      <c r="CO78" s="195"/>
      <c r="CP78" s="195"/>
      <c r="CQ78" s="195"/>
      <c r="CR78" s="195"/>
      <c r="CS78" s="195"/>
      <c r="CT78" s="195"/>
      <c r="CU78" s="195"/>
      <c r="CV78" s="195"/>
      <c r="CW78" s="195"/>
    </row>
    <row r="79" spans="2:101" s="194" customFormat="1">
      <c r="B79" s="195"/>
      <c r="C79" s="195"/>
      <c r="E79" s="219"/>
      <c r="J79"/>
      <c r="K79"/>
      <c r="L79" s="195"/>
      <c r="N79" s="219"/>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5"/>
      <c r="CC79" s="195"/>
      <c r="CD79" s="195"/>
      <c r="CE79" s="195"/>
      <c r="CF79" s="195"/>
      <c r="CG79" s="195"/>
      <c r="CH79" s="195"/>
      <c r="CI79" s="195"/>
      <c r="CJ79" s="195"/>
      <c r="CK79" s="195"/>
      <c r="CL79" s="195"/>
      <c r="CM79" s="195"/>
      <c r="CN79" s="195"/>
      <c r="CO79" s="195"/>
      <c r="CP79" s="195"/>
      <c r="CQ79" s="195"/>
      <c r="CR79" s="195"/>
      <c r="CS79" s="195"/>
      <c r="CT79" s="195"/>
      <c r="CU79" s="195"/>
      <c r="CV79" s="195"/>
      <c r="CW79" s="195"/>
    </row>
    <row r="80" spans="2:101" s="194" customFormat="1">
      <c r="B80" s="195"/>
      <c r="C80" s="195"/>
      <c r="E80" s="219"/>
      <c r="J80"/>
      <c r="K80"/>
      <c r="L80" s="195"/>
      <c r="N80" s="219"/>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195"/>
      <c r="CB80" s="195"/>
      <c r="CC80" s="195"/>
      <c r="CD80" s="195"/>
      <c r="CE80" s="195"/>
      <c r="CF80" s="195"/>
      <c r="CG80" s="195"/>
      <c r="CH80" s="195"/>
      <c r="CI80" s="195"/>
      <c r="CJ80" s="195"/>
      <c r="CK80" s="195"/>
      <c r="CL80" s="195"/>
      <c r="CM80" s="195"/>
      <c r="CN80" s="195"/>
      <c r="CO80" s="195"/>
      <c r="CP80" s="195"/>
      <c r="CQ80" s="195"/>
      <c r="CR80" s="195"/>
      <c r="CS80" s="195"/>
      <c r="CT80" s="195"/>
      <c r="CU80" s="195"/>
      <c r="CV80" s="195"/>
      <c r="CW80" s="195"/>
    </row>
    <row r="81" spans="2:101" s="194" customFormat="1">
      <c r="B81" s="195"/>
      <c r="C81" s="195"/>
      <c r="E81" s="219"/>
      <c r="J81"/>
      <c r="K81"/>
      <c r="L81" s="195"/>
      <c r="N81" s="219"/>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c r="CA81" s="195"/>
      <c r="CB81" s="195"/>
      <c r="CC81" s="195"/>
      <c r="CD81" s="195"/>
      <c r="CE81" s="195"/>
      <c r="CF81" s="195"/>
      <c r="CG81" s="195"/>
      <c r="CH81" s="195"/>
      <c r="CI81" s="195"/>
      <c r="CJ81" s="195"/>
      <c r="CK81" s="195"/>
      <c r="CL81" s="195"/>
      <c r="CM81" s="195"/>
      <c r="CN81" s="195"/>
      <c r="CO81" s="195"/>
      <c r="CP81" s="195"/>
      <c r="CQ81" s="195"/>
      <c r="CR81" s="195"/>
      <c r="CS81" s="195"/>
      <c r="CT81" s="195"/>
      <c r="CU81" s="195"/>
      <c r="CV81" s="195"/>
      <c r="CW81" s="195"/>
    </row>
    <row r="82" spans="2:101" s="194" customFormat="1">
      <c r="B82" s="195"/>
      <c r="C82" s="195"/>
      <c r="E82" s="219"/>
      <c r="J82"/>
      <c r="K82"/>
      <c r="L82" s="195"/>
      <c r="N82" s="219"/>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5"/>
      <c r="CC82" s="195"/>
      <c r="CD82" s="195"/>
      <c r="CE82" s="195"/>
      <c r="CF82" s="195"/>
      <c r="CG82" s="195"/>
      <c r="CH82" s="195"/>
      <c r="CI82" s="195"/>
      <c r="CJ82" s="195"/>
      <c r="CK82" s="195"/>
      <c r="CL82" s="195"/>
      <c r="CM82" s="195"/>
      <c r="CN82" s="195"/>
      <c r="CO82" s="195"/>
      <c r="CP82" s="195"/>
      <c r="CQ82" s="195"/>
      <c r="CR82" s="195"/>
      <c r="CS82" s="195"/>
      <c r="CT82" s="195"/>
      <c r="CU82" s="195"/>
      <c r="CV82" s="195"/>
      <c r="CW82" s="195"/>
    </row>
    <row r="83" spans="2:101" s="194" customFormat="1">
      <c r="B83" s="195"/>
      <c r="C83" s="195"/>
      <c r="E83" s="219"/>
      <c r="J83"/>
      <c r="K83"/>
      <c r="L83" s="195"/>
      <c r="N83" s="219"/>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195"/>
      <c r="CH83" s="195"/>
      <c r="CI83" s="195"/>
      <c r="CJ83" s="195"/>
      <c r="CK83" s="195"/>
      <c r="CL83" s="195"/>
      <c r="CM83" s="195"/>
      <c r="CN83" s="195"/>
      <c r="CO83" s="195"/>
      <c r="CP83" s="195"/>
      <c r="CQ83" s="195"/>
      <c r="CR83" s="195"/>
      <c r="CS83" s="195"/>
      <c r="CT83" s="195"/>
      <c r="CU83" s="195"/>
      <c r="CV83" s="195"/>
      <c r="CW83" s="195"/>
    </row>
    <row r="84" spans="2:101" s="194" customFormat="1">
      <c r="B84" s="195"/>
      <c r="C84" s="195"/>
      <c r="E84" s="219"/>
      <c r="J84"/>
      <c r="K84"/>
      <c r="L84" s="195"/>
      <c r="N84" s="219"/>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5"/>
      <c r="CC84" s="195"/>
      <c r="CD84" s="195"/>
      <c r="CE84" s="195"/>
      <c r="CF84" s="195"/>
      <c r="CG84" s="195"/>
      <c r="CH84" s="195"/>
      <c r="CI84" s="195"/>
      <c r="CJ84" s="195"/>
      <c r="CK84" s="195"/>
      <c r="CL84" s="195"/>
      <c r="CM84" s="195"/>
      <c r="CN84" s="195"/>
      <c r="CO84" s="195"/>
      <c r="CP84" s="195"/>
      <c r="CQ84" s="195"/>
      <c r="CR84" s="195"/>
      <c r="CS84" s="195"/>
      <c r="CT84" s="195"/>
      <c r="CU84" s="195"/>
      <c r="CV84" s="195"/>
      <c r="CW84" s="195"/>
    </row>
    <row r="85" spans="2:101" s="194" customFormat="1">
      <c r="B85" s="195"/>
      <c r="C85" s="195"/>
      <c r="E85" s="219"/>
      <c r="J85"/>
      <c r="K85"/>
      <c r="L85" s="195"/>
      <c r="N85" s="219"/>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195"/>
      <c r="CI85" s="195"/>
      <c r="CJ85" s="195"/>
      <c r="CK85" s="195"/>
      <c r="CL85" s="195"/>
      <c r="CM85" s="195"/>
      <c r="CN85" s="195"/>
      <c r="CO85" s="195"/>
      <c r="CP85" s="195"/>
      <c r="CQ85" s="195"/>
      <c r="CR85" s="195"/>
      <c r="CS85" s="195"/>
      <c r="CT85" s="195"/>
      <c r="CU85" s="195"/>
      <c r="CV85" s="195"/>
      <c r="CW85" s="195"/>
    </row>
    <row r="86" spans="2:101" s="194" customFormat="1">
      <c r="B86" s="195"/>
      <c r="C86" s="195"/>
      <c r="E86" s="219"/>
      <c r="J86"/>
      <c r="K86"/>
      <c r="L86" s="195"/>
      <c r="N86" s="219"/>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5"/>
      <c r="CC86" s="195"/>
      <c r="CD86" s="195"/>
      <c r="CE86" s="195"/>
      <c r="CF86" s="195"/>
      <c r="CG86" s="195"/>
      <c r="CH86" s="195"/>
      <c r="CI86" s="195"/>
      <c r="CJ86" s="195"/>
      <c r="CK86" s="195"/>
      <c r="CL86" s="195"/>
      <c r="CM86" s="195"/>
      <c r="CN86" s="195"/>
      <c r="CO86" s="195"/>
      <c r="CP86" s="195"/>
      <c r="CQ86" s="195"/>
      <c r="CR86" s="195"/>
      <c r="CS86" s="195"/>
      <c r="CT86" s="195"/>
      <c r="CU86" s="195"/>
      <c r="CV86" s="195"/>
      <c r="CW86" s="195"/>
    </row>
    <row r="87" spans="2:101" s="194" customFormat="1">
      <c r="B87" s="195"/>
      <c r="C87" s="195"/>
      <c r="E87" s="219"/>
      <c r="J87"/>
      <c r="K87"/>
      <c r="L87" s="195"/>
      <c r="N87" s="219"/>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5"/>
      <c r="CC87" s="195"/>
      <c r="CD87" s="195"/>
      <c r="CE87" s="195"/>
      <c r="CF87" s="195"/>
      <c r="CG87" s="195"/>
      <c r="CH87" s="195"/>
      <c r="CI87" s="195"/>
      <c r="CJ87" s="195"/>
      <c r="CK87" s="195"/>
      <c r="CL87" s="195"/>
      <c r="CM87" s="195"/>
      <c r="CN87" s="195"/>
      <c r="CO87" s="195"/>
      <c r="CP87" s="195"/>
      <c r="CQ87" s="195"/>
      <c r="CR87" s="195"/>
      <c r="CS87" s="195"/>
      <c r="CT87" s="195"/>
      <c r="CU87" s="195"/>
      <c r="CV87" s="195"/>
      <c r="CW87" s="195"/>
    </row>
    <row r="88" spans="2:101" s="194" customFormat="1">
      <c r="B88" s="195"/>
      <c r="C88" s="195"/>
      <c r="E88" s="219"/>
      <c r="J88"/>
      <c r="K88"/>
      <c r="L88" s="195"/>
      <c r="N88" s="219"/>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c r="CF88" s="195"/>
      <c r="CG88" s="195"/>
      <c r="CH88" s="195"/>
      <c r="CI88" s="195"/>
      <c r="CJ88" s="195"/>
      <c r="CK88" s="195"/>
      <c r="CL88" s="195"/>
      <c r="CM88" s="195"/>
      <c r="CN88" s="195"/>
      <c r="CO88" s="195"/>
      <c r="CP88" s="195"/>
      <c r="CQ88" s="195"/>
      <c r="CR88" s="195"/>
      <c r="CS88" s="195"/>
      <c r="CT88" s="195"/>
      <c r="CU88" s="195"/>
      <c r="CV88" s="195"/>
      <c r="CW88" s="195"/>
    </row>
    <row r="89" spans="2:101" s="194" customFormat="1">
      <c r="B89" s="195"/>
      <c r="C89" s="195"/>
      <c r="E89" s="219"/>
      <c r="J89"/>
      <c r="K89"/>
      <c r="L89" s="195"/>
      <c r="N89" s="219"/>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c r="CA89" s="195"/>
      <c r="CB89" s="195"/>
      <c r="CC89" s="195"/>
      <c r="CD89" s="195"/>
      <c r="CE89" s="195"/>
      <c r="CF89" s="195"/>
      <c r="CG89" s="195"/>
      <c r="CH89" s="195"/>
      <c r="CI89" s="195"/>
      <c r="CJ89" s="195"/>
      <c r="CK89" s="195"/>
      <c r="CL89" s="195"/>
      <c r="CM89" s="195"/>
      <c r="CN89" s="195"/>
      <c r="CO89" s="195"/>
      <c r="CP89" s="195"/>
      <c r="CQ89" s="195"/>
      <c r="CR89" s="195"/>
      <c r="CS89" s="195"/>
      <c r="CT89" s="195"/>
      <c r="CU89" s="195"/>
      <c r="CV89" s="195"/>
      <c r="CW89" s="195"/>
    </row>
    <row r="90" spans="2:101" s="194" customFormat="1">
      <c r="B90" s="195"/>
      <c r="C90" s="195"/>
      <c r="E90" s="219"/>
      <c r="J90"/>
      <c r="K90"/>
      <c r="L90" s="195"/>
      <c r="N90" s="219"/>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195"/>
      <c r="CL90" s="195"/>
      <c r="CM90" s="195"/>
      <c r="CN90" s="195"/>
      <c r="CO90" s="195"/>
      <c r="CP90" s="195"/>
      <c r="CQ90" s="195"/>
      <c r="CR90" s="195"/>
      <c r="CS90" s="195"/>
      <c r="CT90" s="195"/>
      <c r="CU90" s="195"/>
      <c r="CV90" s="195"/>
      <c r="CW90" s="195"/>
    </row>
    <row r="91" spans="2:101" s="194" customFormat="1">
      <c r="B91" s="195"/>
      <c r="C91" s="195"/>
      <c r="E91" s="219"/>
      <c r="J91"/>
      <c r="K91"/>
      <c r="L91" s="195"/>
      <c r="N91" s="219"/>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c r="CA91" s="195"/>
      <c r="CB91" s="195"/>
      <c r="CC91" s="195"/>
      <c r="CD91" s="195"/>
      <c r="CE91" s="195"/>
      <c r="CF91" s="195"/>
      <c r="CG91" s="195"/>
      <c r="CH91" s="195"/>
      <c r="CI91" s="195"/>
      <c r="CJ91" s="195"/>
      <c r="CK91" s="195"/>
      <c r="CL91" s="195"/>
      <c r="CM91" s="195"/>
      <c r="CN91" s="195"/>
      <c r="CO91" s="195"/>
      <c r="CP91" s="195"/>
      <c r="CQ91" s="195"/>
      <c r="CR91" s="195"/>
      <c r="CS91" s="195"/>
      <c r="CT91" s="195"/>
      <c r="CU91" s="195"/>
      <c r="CV91" s="195"/>
      <c r="CW91" s="195"/>
    </row>
    <row r="92" spans="2:101" s="194" customFormat="1">
      <c r="B92" s="195"/>
      <c r="C92" s="195"/>
      <c r="E92" s="219"/>
      <c r="J92"/>
      <c r="K92"/>
      <c r="L92" s="195"/>
      <c r="N92" s="219"/>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c r="AQ92" s="195"/>
      <c r="AR92" s="195"/>
      <c r="AS92" s="195"/>
      <c r="AT92" s="195"/>
      <c r="AU92" s="195"/>
      <c r="AV92" s="195"/>
      <c r="AW92" s="195"/>
      <c r="AX92" s="195"/>
      <c r="AY92" s="195"/>
      <c r="AZ92" s="195"/>
      <c r="BA92" s="195"/>
      <c r="BB92" s="195"/>
      <c r="BC92" s="195"/>
      <c r="BD92" s="195"/>
      <c r="BE92" s="195"/>
      <c r="BF92" s="195"/>
      <c r="BG92" s="195"/>
      <c r="BH92" s="195"/>
      <c r="BI92" s="195"/>
      <c r="BJ92" s="195"/>
      <c r="BK92" s="195"/>
      <c r="BL92" s="195"/>
      <c r="BM92" s="195"/>
      <c r="BN92" s="195"/>
      <c r="BO92" s="195"/>
      <c r="BP92" s="195"/>
      <c r="BQ92" s="195"/>
      <c r="BR92" s="195"/>
      <c r="BS92" s="195"/>
      <c r="BT92" s="195"/>
      <c r="BU92" s="195"/>
      <c r="BV92" s="195"/>
      <c r="BW92" s="195"/>
      <c r="BX92" s="195"/>
      <c r="BY92" s="195"/>
      <c r="BZ92" s="195"/>
      <c r="CA92" s="195"/>
      <c r="CB92" s="195"/>
      <c r="CC92" s="195"/>
      <c r="CD92" s="195"/>
      <c r="CE92" s="195"/>
      <c r="CF92" s="195"/>
      <c r="CG92" s="195"/>
      <c r="CH92" s="195"/>
      <c r="CI92" s="195"/>
      <c r="CJ92" s="195"/>
      <c r="CK92" s="195"/>
      <c r="CL92" s="195"/>
      <c r="CM92" s="195"/>
      <c r="CN92" s="195"/>
      <c r="CO92" s="195"/>
      <c r="CP92" s="195"/>
      <c r="CQ92" s="195"/>
      <c r="CR92" s="195"/>
      <c r="CS92" s="195"/>
      <c r="CT92" s="195"/>
      <c r="CU92" s="195"/>
      <c r="CV92" s="195"/>
      <c r="CW92" s="195"/>
    </row>
    <row r="93" spans="2:101" s="194" customFormat="1">
      <c r="B93" s="195"/>
      <c r="C93" s="195"/>
      <c r="E93" s="219"/>
      <c r="J93"/>
      <c r="K93"/>
      <c r="L93" s="195"/>
      <c r="N93" s="219"/>
      <c r="S93" s="195"/>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5"/>
      <c r="AQ93" s="195"/>
      <c r="AR93" s="195"/>
      <c r="AS93" s="195"/>
      <c r="AT93" s="195"/>
      <c r="AU93" s="195"/>
      <c r="AV93" s="195"/>
      <c r="AW93" s="195"/>
      <c r="AX93" s="195"/>
      <c r="AY93" s="195"/>
      <c r="AZ93" s="195"/>
      <c r="BA93" s="195"/>
      <c r="BB93" s="195"/>
      <c r="BC93" s="195"/>
      <c r="BD93" s="195"/>
      <c r="BE93" s="195"/>
      <c r="BF93" s="195"/>
      <c r="BG93" s="195"/>
      <c r="BH93" s="195"/>
      <c r="BI93" s="195"/>
      <c r="BJ93" s="195"/>
      <c r="BK93" s="195"/>
      <c r="BL93" s="195"/>
      <c r="BM93" s="195"/>
      <c r="BN93" s="195"/>
      <c r="BO93" s="195"/>
      <c r="BP93" s="195"/>
      <c r="BQ93" s="195"/>
      <c r="BR93" s="195"/>
      <c r="BS93" s="195"/>
      <c r="BT93" s="195"/>
      <c r="BU93" s="195"/>
      <c r="BV93" s="195"/>
      <c r="BW93" s="195"/>
      <c r="BX93" s="195"/>
      <c r="BY93" s="195"/>
      <c r="BZ93" s="195"/>
      <c r="CA93" s="195"/>
      <c r="CB93" s="195"/>
      <c r="CC93" s="195"/>
      <c r="CD93" s="195"/>
      <c r="CE93" s="195"/>
      <c r="CF93" s="195"/>
      <c r="CG93" s="195"/>
      <c r="CH93" s="195"/>
      <c r="CI93" s="195"/>
      <c r="CJ93" s="195"/>
      <c r="CK93" s="195"/>
      <c r="CL93" s="195"/>
      <c r="CM93" s="195"/>
      <c r="CN93" s="195"/>
      <c r="CO93" s="195"/>
      <c r="CP93" s="195"/>
      <c r="CQ93" s="195"/>
      <c r="CR93" s="195"/>
      <c r="CS93" s="195"/>
      <c r="CT93" s="195"/>
      <c r="CU93" s="195"/>
      <c r="CV93" s="195"/>
      <c r="CW93" s="195"/>
    </row>
    <row r="94" spans="2:101" s="194" customFormat="1">
      <c r="B94" s="195"/>
      <c r="C94" s="195"/>
      <c r="E94" s="219"/>
      <c r="J94"/>
      <c r="K94"/>
      <c r="L94" s="195"/>
      <c r="N94" s="219"/>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5"/>
      <c r="BR94" s="195"/>
      <c r="BS94" s="195"/>
      <c r="BT94" s="195"/>
      <c r="BU94" s="195"/>
      <c r="BV94" s="195"/>
      <c r="BW94" s="195"/>
      <c r="BX94" s="195"/>
      <c r="BY94" s="195"/>
      <c r="BZ94" s="195"/>
      <c r="CA94" s="195"/>
      <c r="CB94" s="195"/>
      <c r="CC94" s="195"/>
      <c r="CD94" s="195"/>
      <c r="CE94" s="195"/>
      <c r="CF94" s="195"/>
      <c r="CG94" s="195"/>
      <c r="CH94" s="195"/>
      <c r="CI94" s="195"/>
      <c r="CJ94" s="195"/>
      <c r="CK94" s="195"/>
      <c r="CL94" s="195"/>
      <c r="CM94" s="195"/>
      <c r="CN94" s="195"/>
      <c r="CO94" s="195"/>
      <c r="CP94" s="195"/>
      <c r="CQ94" s="195"/>
      <c r="CR94" s="195"/>
      <c r="CS94" s="195"/>
      <c r="CT94" s="195"/>
      <c r="CU94" s="195"/>
      <c r="CV94" s="195"/>
      <c r="CW94" s="195"/>
    </row>
    <row r="95" spans="2:101" s="194" customFormat="1">
      <c r="B95" s="195"/>
      <c r="C95" s="195"/>
      <c r="E95" s="219"/>
      <c r="J95"/>
      <c r="K95"/>
      <c r="L95" s="195"/>
      <c r="N95" s="219"/>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5"/>
      <c r="BR95" s="195"/>
      <c r="BS95" s="195"/>
      <c r="BT95" s="195"/>
      <c r="BU95" s="195"/>
      <c r="BV95" s="195"/>
      <c r="BW95" s="195"/>
      <c r="BX95" s="195"/>
      <c r="BY95" s="195"/>
      <c r="BZ95" s="195"/>
      <c r="CA95" s="195"/>
      <c r="CB95" s="195"/>
      <c r="CC95" s="195"/>
      <c r="CD95" s="195"/>
      <c r="CE95" s="195"/>
      <c r="CF95" s="195"/>
      <c r="CG95" s="195"/>
      <c r="CH95" s="195"/>
      <c r="CI95" s="195"/>
      <c r="CJ95" s="195"/>
      <c r="CK95" s="195"/>
      <c r="CL95" s="195"/>
      <c r="CM95" s="195"/>
      <c r="CN95" s="195"/>
      <c r="CO95" s="195"/>
      <c r="CP95" s="195"/>
      <c r="CQ95" s="195"/>
      <c r="CR95" s="195"/>
      <c r="CS95" s="195"/>
      <c r="CT95" s="195"/>
      <c r="CU95" s="195"/>
      <c r="CV95" s="195"/>
      <c r="CW95" s="195"/>
    </row>
    <row r="96" spans="2:101" s="194" customFormat="1">
      <c r="B96" s="195"/>
      <c r="C96" s="195"/>
      <c r="E96" s="219"/>
      <c r="J96"/>
      <c r="K96"/>
      <c r="L96" s="195"/>
      <c r="N96" s="219"/>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5"/>
      <c r="BR96" s="195"/>
      <c r="BS96" s="195"/>
      <c r="BT96" s="195"/>
      <c r="BU96" s="195"/>
      <c r="BV96" s="195"/>
      <c r="BW96" s="195"/>
      <c r="BX96" s="195"/>
      <c r="BY96" s="195"/>
      <c r="BZ96" s="195"/>
      <c r="CA96" s="195"/>
      <c r="CB96" s="195"/>
      <c r="CC96" s="195"/>
      <c r="CD96" s="195"/>
      <c r="CE96" s="195"/>
      <c r="CF96" s="195"/>
      <c r="CG96" s="195"/>
      <c r="CH96" s="195"/>
      <c r="CI96" s="195"/>
      <c r="CJ96" s="195"/>
      <c r="CK96" s="195"/>
      <c r="CL96" s="195"/>
      <c r="CM96" s="195"/>
      <c r="CN96" s="195"/>
      <c r="CO96" s="195"/>
      <c r="CP96" s="195"/>
      <c r="CQ96" s="195"/>
      <c r="CR96" s="195"/>
      <c r="CS96" s="195"/>
      <c r="CT96" s="195"/>
      <c r="CU96" s="195"/>
      <c r="CV96" s="195"/>
      <c r="CW96" s="195"/>
    </row>
    <row r="97" spans="2:101" s="194" customFormat="1">
      <c r="B97" s="195"/>
      <c r="C97" s="195"/>
      <c r="E97" s="219"/>
      <c r="J97"/>
      <c r="K97"/>
      <c r="L97" s="195"/>
      <c r="N97" s="219"/>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5"/>
      <c r="BC97" s="195"/>
      <c r="BD97" s="195"/>
      <c r="BE97" s="195"/>
      <c r="BF97" s="195"/>
      <c r="BG97" s="195"/>
      <c r="BH97" s="195"/>
      <c r="BI97" s="195"/>
      <c r="BJ97" s="195"/>
      <c r="BK97" s="195"/>
      <c r="BL97" s="195"/>
      <c r="BM97" s="195"/>
      <c r="BN97" s="195"/>
      <c r="BO97" s="195"/>
      <c r="BP97" s="195"/>
      <c r="BQ97" s="195"/>
      <c r="BR97" s="195"/>
      <c r="BS97" s="195"/>
      <c r="BT97" s="195"/>
      <c r="BU97" s="195"/>
      <c r="BV97" s="195"/>
      <c r="BW97" s="195"/>
      <c r="BX97" s="195"/>
      <c r="BY97" s="195"/>
      <c r="BZ97" s="195"/>
      <c r="CA97" s="195"/>
      <c r="CB97" s="195"/>
      <c r="CC97" s="195"/>
      <c r="CD97" s="195"/>
      <c r="CE97" s="195"/>
      <c r="CF97" s="195"/>
      <c r="CG97" s="195"/>
      <c r="CH97" s="195"/>
      <c r="CI97" s="195"/>
      <c r="CJ97" s="195"/>
      <c r="CK97" s="195"/>
      <c r="CL97" s="195"/>
      <c r="CM97" s="195"/>
      <c r="CN97" s="195"/>
      <c r="CO97" s="195"/>
      <c r="CP97" s="195"/>
      <c r="CQ97" s="195"/>
      <c r="CR97" s="195"/>
      <c r="CS97" s="195"/>
      <c r="CT97" s="195"/>
      <c r="CU97" s="195"/>
      <c r="CV97" s="195"/>
      <c r="CW97" s="195"/>
    </row>
    <row r="98" spans="2:101" s="194" customFormat="1">
      <c r="B98" s="195"/>
      <c r="C98" s="195"/>
      <c r="E98" s="219"/>
      <c r="J98"/>
      <c r="K98"/>
      <c r="L98" s="195"/>
      <c r="N98" s="219"/>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c r="BC98" s="195"/>
      <c r="BD98" s="195"/>
      <c r="BE98" s="195"/>
      <c r="BF98" s="195"/>
      <c r="BG98" s="195"/>
      <c r="BH98" s="195"/>
      <c r="BI98" s="195"/>
      <c r="BJ98" s="195"/>
      <c r="BK98" s="195"/>
      <c r="BL98" s="195"/>
      <c r="BM98" s="195"/>
      <c r="BN98" s="195"/>
      <c r="BO98" s="195"/>
      <c r="BP98" s="195"/>
      <c r="BQ98" s="195"/>
      <c r="BR98" s="195"/>
      <c r="BS98" s="195"/>
      <c r="BT98" s="195"/>
      <c r="BU98" s="195"/>
      <c r="BV98" s="195"/>
      <c r="BW98" s="195"/>
      <c r="BX98" s="195"/>
      <c r="BY98" s="195"/>
      <c r="BZ98" s="195"/>
      <c r="CA98" s="195"/>
      <c r="CB98" s="195"/>
      <c r="CC98" s="195"/>
      <c r="CD98" s="195"/>
      <c r="CE98" s="195"/>
      <c r="CF98" s="195"/>
      <c r="CG98" s="195"/>
      <c r="CH98" s="195"/>
      <c r="CI98" s="195"/>
      <c r="CJ98" s="195"/>
      <c r="CK98" s="195"/>
      <c r="CL98" s="195"/>
      <c r="CM98" s="195"/>
      <c r="CN98" s="195"/>
      <c r="CO98" s="195"/>
      <c r="CP98" s="195"/>
      <c r="CQ98" s="195"/>
      <c r="CR98" s="195"/>
      <c r="CS98" s="195"/>
      <c r="CT98" s="195"/>
      <c r="CU98" s="195"/>
      <c r="CV98" s="195"/>
      <c r="CW98" s="195"/>
    </row>
    <row r="99" spans="2:101" s="194" customFormat="1">
      <c r="B99" s="195"/>
      <c r="C99" s="195"/>
      <c r="E99" s="219"/>
      <c r="J99"/>
      <c r="K99"/>
      <c r="L99" s="195"/>
      <c r="N99" s="219"/>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c r="BC99" s="195"/>
      <c r="BD99" s="195"/>
      <c r="BE99" s="195"/>
      <c r="BF99" s="195"/>
      <c r="BG99" s="195"/>
      <c r="BH99" s="195"/>
      <c r="BI99" s="195"/>
      <c r="BJ99" s="195"/>
      <c r="BK99" s="195"/>
      <c r="BL99" s="195"/>
      <c r="BM99" s="195"/>
      <c r="BN99" s="195"/>
      <c r="BO99" s="195"/>
      <c r="BP99" s="195"/>
      <c r="BQ99" s="195"/>
      <c r="BR99" s="195"/>
      <c r="BS99" s="195"/>
      <c r="BT99" s="195"/>
      <c r="BU99" s="195"/>
      <c r="BV99" s="195"/>
      <c r="BW99" s="195"/>
      <c r="BX99" s="195"/>
      <c r="BY99" s="195"/>
      <c r="BZ99" s="195"/>
      <c r="CA99" s="195"/>
      <c r="CB99" s="195"/>
      <c r="CC99" s="195"/>
      <c r="CD99" s="195"/>
      <c r="CE99" s="195"/>
      <c r="CF99" s="195"/>
      <c r="CG99" s="195"/>
      <c r="CH99" s="195"/>
      <c r="CI99" s="195"/>
      <c r="CJ99" s="195"/>
      <c r="CK99" s="195"/>
      <c r="CL99" s="195"/>
      <c r="CM99" s="195"/>
      <c r="CN99" s="195"/>
      <c r="CO99" s="195"/>
      <c r="CP99" s="195"/>
      <c r="CQ99" s="195"/>
      <c r="CR99" s="195"/>
      <c r="CS99" s="195"/>
      <c r="CT99" s="195"/>
      <c r="CU99" s="195"/>
      <c r="CV99" s="195"/>
      <c r="CW99" s="195"/>
    </row>
  </sheetData>
  <mergeCells count="2">
    <mergeCell ref="D9:F9"/>
    <mergeCell ref="M9:O9"/>
  </mergeCells>
  <pageMargins left="0" right="0" top="1" bottom="1" header="0.5" footer="0.5"/>
  <pageSetup scale="10" fitToHeight="4" orientation="landscape" r:id="rId1"/>
  <headerFooter alignWithMargins="0"/>
  <ignoredErrors>
    <ignoredError sqref="N27" formula="1"/>
  </ignoredErrors>
</worksheet>
</file>

<file path=xl/worksheets/sheet11.xml><?xml version="1.0" encoding="utf-8"?>
<worksheet xmlns="http://schemas.openxmlformats.org/spreadsheetml/2006/main" xmlns:r="http://schemas.openxmlformats.org/officeDocument/2006/relationships">
  <sheetPr codeName="Sheet8">
    <tabColor theme="5"/>
  </sheetPr>
  <dimension ref="A1:G68"/>
  <sheetViews>
    <sheetView topLeftCell="A2" zoomScaleNormal="100" workbookViewId="0">
      <selection activeCell="A2" sqref="A2"/>
    </sheetView>
  </sheetViews>
  <sheetFormatPr defaultRowHeight="12.75" outlineLevelRow="1"/>
  <cols>
    <col min="1" max="1" width="9.140625" style="85"/>
    <col min="2" max="2" width="41.42578125" style="85" customWidth="1"/>
    <col min="3" max="3" width="23.7109375" style="85" bestFit="1" customWidth="1"/>
    <col min="4" max="7" width="15.7109375" style="85" customWidth="1"/>
    <col min="8" max="8" width="9.140625" style="85"/>
    <col min="9" max="9" width="10.5703125" style="85" customWidth="1"/>
    <col min="10" max="10" width="11.5703125" style="85" customWidth="1"/>
    <col min="11" max="11" width="10.42578125" style="85" bestFit="1" customWidth="1"/>
    <col min="12" max="12" width="9.42578125" style="85" bestFit="1" customWidth="1"/>
    <col min="13" max="13" width="7.5703125" style="85" bestFit="1" customWidth="1"/>
    <col min="14" max="16384" width="9.140625" style="85"/>
  </cols>
  <sheetData>
    <row r="1" spans="1:7" s="410" customFormat="1" hidden="1" outlineLevel="1">
      <c r="D1" s="315" t="s">
        <v>66</v>
      </c>
      <c r="E1" s="315" t="s">
        <v>67</v>
      </c>
      <c r="F1" s="315" t="s">
        <v>101</v>
      </c>
      <c r="G1" s="315" t="s">
        <v>406</v>
      </c>
    </row>
    <row r="2" spans="1:7" s="126" customFormat="1" ht="12.75" customHeight="1" collapsed="1">
      <c r="A2" s="126" t="s">
        <v>91</v>
      </c>
      <c r="B2" s="126" t="str">
        <f>'ORTP Summary'!C1</f>
        <v>ISO-NE ORTP 2013 Study</v>
      </c>
    </row>
    <row r="3" spans="1:7" s="126" customFormat="1" ht="12.75" customHeight="1">
      <c r="A3" s="126" t="s">
        <v>92</v>
      </c>
      <c r="B3" s="140" t="s">
        <v>113</v>
      </c>
    </row>
    <row r="4" spans="1:7" s="126" customFormat="1" ht="12.75" customHeight="1">
      <c r="A4" s="126" t="s">
        <v>114</v>
      </c>
      <c r="B4" s="95" t="s">
        <v>158</v>
      </c>
    </row>
    <row r="5" spans="1:7" s="126" customFormat="1" ht="12.75" customHeight="1">
      <c r="B5" s="95"/>
    </row>
    <row r="6" spans="1:7" s="126" customFormat="1" ht="6" customHeight="1" thickBot="1">
      <c r="B6" s="180"/>
      <c r="C6" s="181"/>
      <c r="D6" s="181"/>
      <c r="E6" s="181"/>
      <c r="F6" s="181"/>
      <c r="G6" s="181"/>
    </row>
    <row r="7" spans="1:7" s="126" customFormat="1" ht="6" customHeight="1" thickTop="1">
      <c r="A7" s="95"/>
    </row>
    <row r="8" spans="1:7" ht="25.5">
      <c r="B8" s="191" t="s">
        <v>0</v>
      </c>
      <c r="C8" s="262" t="s">
        <v>162</v>
      </c>
      <c r="D8" s="193" t="str">
        <f>'Unit Specifications'!C$8</f>
        <v>Combustion Turbine</v>
      </c>
      <c r="E8" s="193" t="str">
        <f>'Unit Specifications'!D$8</f>
        <v>Combined Cycle Gas Turbine</v>
      </c>
      <c r="F8" s="193" t="str">
        <f>'Unit Specifications'!E$8</f>
        <v>On-Shore Wind</v>
      </c>
      <c r="G8" s="193" t="str">
        <f>'Unit Specifications'!F$8</f>
        <v>Solar PV</v>
      </c>
    </row>
    <row r="9" spans="1:7" ht="6" customHeight="1">
      <c r="B9" s="88"/>
      <c r="C9" s="88"/>
      <c r="D9" s="159"/>
      <c r="E9" s="159"/>
      <c r="F9" s="159"/>
      <c r="G9" s="159"/>
    </row>
    <row r="10" spans="1:7" ht="6" customHeight="1">
      <c r="B10" s="87"/>
      <c r="C10" s="87"/>
      <c r="D10" s="148"/>
      <c r="E10" s="148"/>
      <c r="F10" s="148"/>
      <c r="G10" s="1143"/>
    </row>
    <row r="11" spans="1:7">
      <c r="B11" s="179" t="s">
        <v>913</v>
      </c>
      <c r="C11" s="87"/>
      <c r="D11" s="1206"/>
      <c r="E11" s="1206"/>
      <c r="F11" s="1206"/>
      <c r="G11" s="1206"/>
    </row>
    <row r="12" spans="1:7" ht="12.75" customHeight="1">
      <c r="B12" s="230" t="s">
        <v>278</v>
      </c>
      <c r="C12" s="102" t="s">
        <v>262</v>
      </c>
      <c r="D12" s="380">
        <f>2*96.171</f>
        <v>192.34200000000001</v>
      </c>
      <c r="E12" s="380">
        <v>729.6</v>
      </c>
      <c r="F12" s="380">
        <f>1.62*37</f>
        <v>59.940000000000005</v>
      </c>
      <c r="G12" s="380">
        <v>6</v>
      </c>
    </row>
    <row r="13" spans="1:7" ht="12.75" customHeight="1">
      <c r="B13" s="230" t="s">
        <v>277</v>
      </c>
      <c r="C13" s="102" t="s">
        <v>262</v>
      </c>
      <c r="D13" s="373" t="s">
        <v>124</v>
      </c>
      <c r="E13" s="380">
        <v>630.80999999999995</v>
      </c>
      <c r="F13" s="373" t="s">
        <v>124</v>
      </c>
      <c r="G13" s="373" t="s">
        <v>124</v>
      </c>
    </row>
    <row r="14" spans="1:7" ht="12.75" customHeight="1">
      <c r="B14" s="230" t="s">
        <v>372</v>
      </c>
      <c r="C14" s="383" t="s">
        <v>279</v>
      </c>
      <c r="D14" s="384">
        <v>9130</v>
      </c>
      <c r="E14" s="418">
        <v>7138</v>
      </c>
      <c r="F14" s="373" t="s">
        <v>124</v>
      </c>
      <c r="G14" s="373" t="s">
        <v>124</v>
      </c>
    </row>
    <row r="15" spans="1:7" ht="12.75" customHeight="1">
      <c r="B15" s="231" t="s">
        <v>178</v>
      </c>
      <c r="C15" s="102" t="s">
        <v>263</v>
      </c>
      <c r="D15" s="385">
        <v>2.1999999999999999E-2</v>
      </c>
      <c r="E15" s="385">
        <v>0.02</v>
      </c>
      <c r="F15" s="373" t="s">
        <v>124</v>
      </c>
      <c r="G15" s="373" t="s">
        <v>124</v>
      </c>
    </row>
    <row r="16" spans="1:7" ht="6" customHeight="1">
      <c r="B16" s="1213"/>
      <c r="C16" s="1214"/>
      <c r="D16" s="1215"/>
      <c r="E16" s="1215"/>
      <c r="F16" s="1216"/>
      <c r="G16" s="1216"/>
    </row>
    <row r="17" spans="2:7" ht="6" customHeight="1">
      <c r="B17" s="231"/>
      <c r="C17" s="102"/>
      <c r="D17" s="385"/>
      <c r="E17" s="385"/>
      <c r="F17" s="373"/>
      <c r="G17" s="373"/>
    </row>
    <row r="18" spans="2:7">
      <c r="B18" s="179" t="s">
        <v>160</v>
      </c>
      <c r="C18" s="87"/>
      <c r="D18" s="148"/>
      <c r="E18" s="148"/>
      <c r="F18" s="148"/>
      <c r="G18" s="1143"/>
    </row>
    <row r="19" spans="2:7">
      <c r="B19" s="161" t="s">
        <v>129</v>
      </c>
      <c r="C19" s="142" t="s">
        <v>260</v>
      </c>
      <c r="D19" s="372">
        <v>0.1</v>
      </c>
      <c r="E19" s="372">
        <v>0.12</v>
      </c>
      <c r="F19" s="372">
        <v>0.1</v>
      </c>
      <c r="G19" s="372">
        <v>0.1</v>
      </c>
    </row>
    <row r="20" spans="2:7">
      <c r="B20" s="161" t="s">
        <v>182</v>
      </c>
      <c r="C20" s="142" t="s">
        <v>260</v>
      </c>
      <c r="D20" s="372">
        <v>0.1</v>
      </c>
      <c r="E20" s="372">
        <v>0.1</v>
      </c>
      <c r="F20" s="372">
        <v>0.1</v>
      </c>
      <c r="G20" s="372">
        <v>0.1</v>
      </c>
    </row>
    <row r="21" spans="2:7">
      <c r="B21" s="161" t="s">
        <v>252</v>
      </c>
      <c r="C21" s="142" t="s">
        <v>253</v>
      </c>
      <c r="D21" s="372">
        <v>7.0000000000000007E-2</v>
      </c>
      <c r="E21" s="372">
        <v>7.0000000000000007E-2</v>
      </c>
      <c r="F21" s="372">
        <v>7.0000000000000007E-2</v>
      </c>
      <c r="G21" s="372">
        <v>7.0000000000000007E-2</v>
      </c>
    </row>
    <row r="22" spans="2:7">
      <c r="B22" s="161" t="s">
        <v>265</v>
      </c>
      <c r="C22" s="142" t="s">
        <v>253</v>
      </c>
      <c r="D22" s="372">
        <v>0.01</v>
      </c>
      <c r="E22" s="372">
        <v>0.01</v>
      </c>
      <c r="F22" s="372">
        <v>0.01</v>
      </c>
      <c r="G22" s="372">
        <v>0.01</v>
      </c>
    </row>
    <row r="23" spans="2:7" ht="12.75" customHeight="1">
      <c r="B23" s="178" t="s">
        <v>157</v>
      </c>
      <c r="C23" s="190" t="s">
        <v>261</v>
      </c>
      <c r="D23" s="388">
        <v>0.08</v>
      </c>
      <c r="E23" s="388">
        <v>0.08</v>
      </c>
      <c r="F23" s="388">
        <v>0.08</v>
      </c>
      <c r="G23" s="388">
        <v>0.08</v>
      </c>
    </row>
    <row r="24" spans="2:7" ht="12.75" customHeight="1">
      <c r="B24" s="178" t="s">
        <v>86</v>
      </c>
      <c r="C24" s="190" t="s">
        <v>258</v>
      </c>
      <c r="D24" s="388">
        <v>0.04</v>
      </c>
      <c r="E24" s="388">
        <v>0.04</v>
      </c>
      <c r="F24" s="388">
        <v>0.04</v>
      </c>
      <c r="G24" s="388">
        <v>0.04</v>
      </c>
    </row>
    <row r="25" spans="2:7" ht="12.75" customHeight="1">
      <c r="B25" s="141" t="s">
        <v>78</v>
      </c>
      <c r="C25" s="189" t="s">
        <v>256</v>
      </c>
      <c r="D25" s="188">
        <f>D$26*D$27+D$28</f>
        <v>4</v>
      </c>
      <c r="E25" s="188">
        <f>E$26*E$27+E$28</f>
        <v>16</v>
      </c>
      <c r="F25" s="188">
        <f>F$26*F$27+F$28</f>
        <v>19</v>
      </c>
      <c r="G25" s="1197">
        <v>0.3</v>
      </c>
    </row>
    <row r="26" spans="2:7" ht="12.75" customHeight="1">
      <c r="B26" s="228" t="s">
        <v>284</v>
      </c>
      <c r="C26" s="189" t="s">
        <v>155</v>
      </c>
      <c r="D26" s="593">
        <f>'Interconnection Costs'!$E$20</f>
        <v>4.5</v>
      </c>
      <c r="E26" s="593">
        <f>'Interconnection Costs'!$E$13</f>
        <v>4.5</v>
      </c>
      <c r="F26" s="593">
        <f>'Interconnection Costs'!$E$26</f>
        <v>1.7</v>
      </c>
      <c r="G26" s="373" t="s">
        <v>124</v>
      </c>
    </row>
    <row r="27" spans="2:7" ht="12.75" customHeight="1">
      <c r="B27" s="228" t="s">
        <v>254</v>
      </c>
      <c r="C27" s="189" t="s">
        <v>156</v>
      </c>
      <c r="D27" s="594">
        <f>'Interconnection Costs'!$D$20</f>
        <v>0</v>
      </c>
      <c r="E27" s="594">
        <f>'Interconnection Costs'!$D$13</f>
        <v>0</v>
      </c>
      <c r="F27" s="594">
        <f>'Interconnection Costs'!$D$26</f>
        <v>10</v>
      </c>
      <c r="G27" s="373" t="s">
        <v>124</v>
      </c>
    </row>
    <row r="28" spans="2:7" ht="12.75" customHeight="1">
      <c r="B28" s="228" t="s">
        <v>255</v>
      </c>
      <c r="C28" s="189" t="s">
        <v>256</v>
      </c>
      <c r="D28" s="595">
        <f>'Interconnection Costs'!$F$21</f>
        <v>4</v>
      </c>
      <c r="E28" s="595">
        <f>SUM('Interconnection Costs'!$F$14:$F$15)</f>
        <v>16</v>
      </c>
      <c r="F28" s="595">
        <f>'Interconnection Costs'!$F$27</f>
        <v>2</v>
      </c>
      <c r="G28" s="373" t="s">
        <v>124</v>
      </c>
    </row>
    <row r="29" spans="2:7" ht="12.75" customHeight="1">
      <c r="B29" s="141" t="s">
        <v>79</v>
      </c>
      <c r="C29" s="189" t="s">
        <v>256</v>
      </c>
      <c r="D29" s="188">
        <f>D$30*D$31+D32</f>
        <v>3.6</v>
      </c>
      <c r="E29" s="188">
        <f>E$30*E$31+E32</f>
        <v>3.6</v>
      </c>
      <c r="F29" s="373" t="s">
        <v>124</v>
      </c>
      <c r="G29" s="373" t="s">
        <v>124</v>
      </c>
    </row>
    <row r="30" spans="2:7" ht="12.75" customHeight="1">
      <c r="B30" s="228" t="s">
        <v>285</v>
      </c>
      <c r="C30" s="189" t="s">
        <v>155</v>
      </c>
      <c r="D30" s="593">
        <f>'Interconnection Costs'!$J$20</f>
        <v>2.5092149999999998</v>
      </c>
      <c r="E30" s="593">
        <f>'Interconnection Costs'!$J$13</f>
        <v>2.5092149999999998</v>
      </c>
      <c r="F30" s="373" t="s">
        <v>124</v>
      </c>
      <c r="G30" s="373" t="s">
        <v>124</v>
      </c>
    </row>
    <row r="31" spans="2:7" ht="12.75" customHeight="1">
      <c r="B31" s="228" t="s">
        <v>254</v>
      </c>
      <c r="C31" s="189" t="s">
        <v>156</v>
      </c>
      <c r="D31" s="594">
        <f>'Interconnection Costs'!$I$20</f>
        <v>0</v>
      </c>
      <c r="E31" s="594">
        <f>'Interconnection Costs'!$I$13</f>
        <v>0</v>
      </c>
      <c r="F31" s="373" t="s">
        <v>124</v>
      </c>
      <c r="G31" s="373" t="s">
        <v>124</v>
      </c>
    </row>
    <row r="32" spans="2:7" ht="12.75" customHeight="1">
      <c r="B32" s="228" t="s">
        <v>257</v>
      </c>
      <c r="C32" s="189" t="s">
        <v>256</v>
      </c>
      <c r="D32" s="593">
        <f>'Interconnection Costs'!$K$21</f>
        <v>3.6</v>
      </c>
      <c r="E32" s="593">
        <f>'Interconnection Costs'!$K$14</f>
        <v>3.6</v>
      </c>
      <c r="F32" s="373" t="s">
        <v>124</v>
      </c>
      <c r="G32" s="373" t="s">
        <v>124</v>
      </c>
    </row>
    <row r="33" spans="2:7" ht="12.75" customHeight="1">
      <c r="B33" s="178" t="s">
        <v>307</v>
      </c>
      <c r="C33" s="190" t="s">
        <v>258</v>
      </c>
      <c r="D33" s="432">
        <v>6.25E-2</v>
      </c>
      <c r="E33" s="432">
        <v>6.25E-2</v>
      </c>
      <c r="F33" s="432">
        <v>0.05</v>
      </c>
      <c r="G33" s="432">
        <v>6.25E-2</v>
      </c>
    </row>
    <row r="34" spans="2:7" ht="12.75" customHeight="1">
      <c r="B34" s="178" t="s">
        <v>308</v>
      </c>
      <c r="C34" s="190" t="s">
        <v>258</v>
      </c>
      <c r="D34" s="470">
        <v>0.08</v>
      </c>
      <c r="E34" s="470">
        <v>0.08</v>
      </c>
      <c r="F34" s="470">
        <v>8.9300000000000004E-2</v>
      </c>
      <c r="G34" s="470">
        <v>0.08</v>
      </c>
    </row>
    <row r="35" spans="2:7">
      <c r="B35" s="387" t="s">
        <v>276</v>
      </c>
      <c r="C35" s="102" t="s">
        <v>275</v>
      </c>
      <c r="D35" s="379">
        <f>D40*D41</f>
        <v>2528758.7423999999</v>
      </c>
      <c r="E35" s="379">
        <f>E40*E41</f>
        <v>7499354.1120000007</v>
      </c>
      <c r="F35" s="373" t="s">
        <v>124</v>
      </c>
      <c r="G35" s="373" t="s">
        <v>124</v>
      </c>
    </row>
    <row r="36" spans="2:7">
      <c r="B36" s="391" t="s">
        <v>294</v>
      </c>
      <c r="C36" s="102" t="s">
        <v>267</v>
      </c>
      <c r="D36" s="152">
        <v>3</v>
      </c>
      <c r="E36" s="152">
        <v>3</v>
      </c>
      <c r="F36" s="373" t="s">
        <v>124</v>
      </c>
      <c r="G36" s="373" t="s">
        <v>124</v>
      </c>
    </row>
    <row r="37" spans="2:7" ht="12.75" customHeight="1">
      <c r="B37" s="391" t="s">
        <v>266</v>
      </c>
      <c r="C37" s="102" t="s">
        <v>258</v>
      </c>
      <c r="D37" s="598">
        <v>1</v>
      </c>
      <c r="E37" s="598">
        <v>1</v>
      </c>
      <c r="F37" s="373" t="s">
        <v>124</v>
      </c>
      <c r="G37" s="373" t="s">
        <v>124</v>
      </c>
    </row>
    <row r="38" spans="2:7" ht="12.75" customHeight="1">
      <c r="B38" s="391" t="s">
        <v>269</v>
      </c>
      <c r="C38" s="102" t="s">
        <v>268</v>
      </c>
      <c r="D38" s="375">
        <v>20</v>
      </c>
      <c r="E38" s="375">
        <v>20</v>
      </c>
      <c r="F38" s="373" t="s">
        <v>124</v>
      </c>
      <c r="G38" s="373" t="s">
        <v>124</v>
      </c>
    </row>
    <row r="39" spans="2:7" ht="12.75" customHeight="1">
      <c r="B39" s="391" t="s">
        <v>270</v>
      </c>
      <c r="C39" s="102" t="s">
        <v>271</v>
      </c>
      <c r="D39" s="376">
        <v>140000</v>
      </c>
      <c r="E39" s="376">
        <v>140000</v>
      </c>
      <c r="F39" s="373" t="s">
        <v>124</v>
      </c>
      <c r="G39" s="373" t="s">
        <v>124</v>
      </c>
    </row>
    <row r="40" spans="2:7" ht="12.75" customHeight="1">
      <c r="B40" s="391" t="s">
        <v>273</v>
      </c>
      <c r="C40" s="102" t="s">
        <v>272</v>
      </c>
      <c r="D40" s="377">
        <f>D$36*24*D$37*D$12*1000*D$14/D$39</f>
        <v>903128.12228571437</v>
      </c>
      <c r="E40" s="377">
        <f>E$36*24*E$37*E$12*1000*E$14/E$39</f>
        <v>2678340.7542857146</v>
      </c>
      <c r="F40" s="373" t="s">
        <v>124</v>
      </c>
      <c r="G40" s="373" t="s">
        <v>124</v>
      </c>
    </row>
    <row r="41" spans="2:7" ht="12.75" customHeight="1">
      <c r="B41" s="391" t="s">
        <v>269</v>
      </c>
      <c r="C41" s="102" t="s">
        <v>274</v>
      </c>
      <c r="D41" s="378">
        <f>D$38*D$39/10^6</f>
        <v>2.8</v>
      </c>
      <c r="E41" s="378">
        <f>E$38*E$39/10^6</f>
        <v>2.8</v>
      </c>
      <c r="F41" s="373" t="s">
        <v>124</v>
      </c>
      <c r="G41" s="373" t="s">
        <v>124</v>
      </c>
    </row>
    <row r="42" spans="2:7" ht="12.75" customHeight="1">
      <c r="B42" s="387" t="s">
        <v>395</v>
      </c>
      <c r="C42" s="102"/>
      <c r="D42" s="437" t="s">
        <v>9</v>
      </c>
      <c r="E42" s="437" t="s">
        <v>10</v>
      </c>
      <c r="F42" s="437" t="s">
        <v>7</v>
      </c>
      <c r="G42" s="437" t="s">
        <v>7</v>
      </c>
    </row>
    <row r="43" spans="2:7" ht="12.75" customHeight="1">
      <c r="B43" s="387" t="s">
        <v>858</v>
      </c>
      <c r="C43" s="102"/>
      <c r="D43" s="1153" t="s">
        <v>152</v>
      </c>
      <c r="E43" s="1153" t="s">
        <v>152</v>
      </c>
      <c r="F43" s="437" t="s">
        <v>314</v>
      </c>
      <c r="G43" s="437" t="s">
        <v>859</v>
      </c>
    </row>
    <row r="44" spans="2:7" ht="6" customHeight="1">
      <c r="B44" s="237"/>
      <c r="C44" s="236"/>
      <c r="D44" s="238"/>
      <c r="E44" s="238"/>
      <c r="F44" s="238"/>
      <c r="G44" s="238"/>
    </row>
    <row r="45" spans="2:7" ht="6" customHeight="1">
      <c r="B45" s="141"/>
      <c r="C45" s="189"/>
      <c r="D45" s="192"/>
      <c r="E45" s="192"/>
      <c r="F45" s="192"/>
      <c r="G45" s="192"/>
    </row>
    <row r="46" spans="2:7" ht="12.75" customHeight="1">
      <c r="B46" s="179" t="s">
        <v>177</v>
      </c>
      <c r="C46" s="87"/>
      <c r="D46" s="165"/>
      <c r="E46" s="165"/>
      <c r="F46" s="165"/>
      <c r="G46" s="1143"/>
    </row>
    <row r="47" spans="2:7" ht="12.75" customHeight="1">
      <c r="B47" s="227" t="s">
        <v>135</v>
      </c>
      <c r="C47" s="129" t="s">
        <v>288</v>
      </c>
      <c r="D47" s="187">
        <f>D$48*D$49/10^6</f>
        <v>0.19</v>
      </c>
      <c r="E47" s="187">
        <f>E$48*E$49/10^6</f>
        <v>0.38</v>
      </c>
      <c r="F47" s="187">
        <f>F$48*F$49/10^6</f>
        <v>0.76800000000000002</v>
      </c>
      <c r="G47" s="187">
        <f>G$48*G$49/10^6</f>
        <v>8.0000000000000002E-3</v>
      </c>
    </row>
    <row r="48" spans="2:7" ht="12.75" customHeight="1">
      <c r="B48" s="394" t="s">
        <v>286</v>
      </c>
      <c r="C48" s="395" t="s">
        <v>287</v>
      </c>
      <c r="D48" s="396">
        <v>19000</v>
      </c>
      <c r="E48" s="396">
        <v>19000</v>
      </c>
      <c r="F48" s="396">
        <v>200</v>
      </c>
      <c r="G48" s="396">
        <v>200</v>
      </c>
    </row>
    <row r="49" spans="2:7" ht="12.75" customHeight="1">
      <c r="B49" s="229" t="s">
        <v>145</v>
      </c>
      <c r="C49" s="129" t="s">
        <v>259</v>
      </c>
      <c r="D49" s="393">
        <v>10</v>
      </c>
      <c r="E49" s="393">
        <v>20</v>
      </c>
      <c r="F49" s="393">
        <f>6*640</f>
        <v>3840</v>
      </c>
      <c r="G49" s="393">
        <v>40</v>
      </c>
    </row>
    <row r="50" spans="2:7" ht="12.75" customHeight="1">
      <c r="B50" s="231" t="s">
        <v>281</v>
      </c>
      <c r="C50" s="102" t="s">
        <v>264</v>
      </c>
      <c r="D50" s="382">
        <v>215</v>
      </c>
      <c r="E50" s="381">
        <v>1688</v>
      </c>
      <c r="F50" s="373" t="s">
        <v>124</v>
      </c>
      <c r="G50" s="373" t="s">
        <v>124</v>
      </c>
    </row>
    <row r="51" spans="2:7" ht="12.75" customHeight="1">
      <c r="B51" s="231" t="s">
        <v>179</v>
      </c>
      <c r="C51" s="102" t="s">
        <v>289</v>
      </c>
      <c r="D51" s="386">
        <v>7.4999999999999997E-3</v>
      </c>
      <c r="E51" s="386">
        <v>7.4999999999999997E-3</v>
      </c>
      <c r="F51" s="386">
        <v>5.0000000000000001E-3</v>
      </c>
      <c r="G51" s="386">
        <v>5.0000000000000001E-3</v>
      </c>
    </row>
    <row r="52" spans="2:7" ht="12.75" customHeight="1">
      <c r="B52" s="231" t="s">
        <v>180</v>
      </c>
      <c r="C52" s="189" t="s">
        <v>290</v>
      </c>
      <c r="D52" s="386">
        <v>7.4999999999999997E-3</v>
      </c>
      <c r="E52" s="386">
        <v>7.4999999999999997E-3</v>
      </c>
      <c r="F52" s="386">
        <v>5.0000000000000001E-3</v>
      </c>
      <c r="G52" s="386">
        <v>5.0000000000000001E-3</v>
      </c>
    </row>
    <row r="53" spans="2:7" ht="12.75" customHeight="1">
      <c r="B53" s="231" t="s">
        <v>280</v>
      </c>
      <c r="C53" s="189" t="s">
        <v>290</v>
      </c>
      <c r="D53" s="386">
        <v>6.0000000000000001E-3</v>
      </c>
      <c r="E53" s="386">
        <v>6.0000000000000001E-3</v>
      </c>
      <c r="F53" s="386">
        <v>3.0000000000000001E-3</v>
      </c>
      <c r="G53" s="386">
        <v>3.0000000000000001E-3</v>
      </c>
    </row>
    <row r="54" spans="2:7" ht="6" customHeight="1" thickBot="1">
      <c r="B54" s="180"/>
      <c r="C54" s="181"/>
      <c r="D54" s="181"/>
      <c r="E54" s="181"/>
      <c r="F54" s="181"/>
      <c r="G54" s="181"/>
    </row>
    <row r="55" spans="2:7" ht="6" customHeight="1" thickTop="1">
      <c r="B55" s="126"/>
      <c r="C55" s="126"/>
      <c r="D55" s="126"/>
      <c r="E55" s="126"/>
      <c r="F55" s="126"/>
      <c r="G55" s="126"/>
    </row>
    <row r="56" spans="2:7" ht="12.75" customHeight="1">
      <c r="B56" s="18" t="s">
        <v>410</v>
      </c>
    </row>
    <row r="57" spans="2:7" ht="12.75" customHeight="1">
      <c r="B57" s="126" t="s">
        <v>412</v>
      </c>
    </row>
    <row r="58" spans="2:7" ht="12.75" customHeight="1">
      <c r="B58" s="126" t="s">
        <v>411</v>
      </c>
    </row>
    <row r="59" spans="2:7" ht="12.75" customHeight="1"/>
    <row r="60" spans="2:7" ht="12.75" customHeight="1"/>
    <row r="61" spans="2:7" ht="12.75" customHeight="1"/>
    <row r="62" spans="2:7" ht="12.75" customHeight="1"/>
    <row r="63" spans="2:7" ht="12.75" customHeight="1"/>
    <row r="64" spans="2:7" ht="12.75" customHeight="1"/>
    <row r="65" ht="12.75" customHeight="1"/>
    <row r="66" ht="12.75" customHeight="1"/>
    <row r="67" ht="12.75" customHeight="1"/>
    <row r="68" ht="12.75" customHeight="1"/>
  </sheetData>
  <conditionalFormatting sqref="D47:F47">
    <cfRule type="expression" dxfId="22" priority="31" stopIfTrue="1">
      <formula>MOD(#REF!,2)=1</formula>
    </cfRule>
  </conditionalFormatting>
  <conditionalFormatting sqref="D26:F26">
    <cfRule type="expression" dxfId="21" priority="30" stopIfTrue="1">
      <formula>MOD(#REF!,2)=1</formula>
    </cfRule>
  </conditionalFormatting>
  <conditionalFormatting sqref="D30:E32">
    <cfRule type="expression" dxfId="20" priority="29" stopIfTrue="1">
      <formula>MOD(#REF!,2)=1</formula>
    </cfRule>
  </conditionalFormatting>
  <conditionalFormatting sqref="D23:F23">
    <cfRule type="expression" dxfId="19" priority="28" stopIfTrue="1">
      <formula>MOD(#REF!,2)=1</formula>
    </cfRule>
  </conditionalFormatting>
  <conditionalFormatting sqref="D33:F33 D24:F24">
    <cfRule type="expression" dxfId="18" priority="27" stopIfTrue="1">
      <formula>MOD(#REF!,2)=1</formula>
    </cfRule>
  </conditionalFormatting>
  <conditionalFormatting sqref="F12 D34:F34 D48:F49 D27:F28 G33 G24">
    <cfRule type="expression" dxfId="17" priority="26" stopIfTrue="1">
      <formula>MOD(#REF!,2)=1</formula>
    </cfRule>
  </conditionalFormatting>
  <conditionalFormatting sqref="E15:E17">
    <cfRule type="expression" dxfId="16" priority="19" stopIfTrue="1">
      <formula>MOD(#REF!,2)=1</formula>
    </cfRule>
  </conditionalFormatting>
  <conditionalFormatting sqref="E12">
    <cfRule type="expression" dxfId="15" priority="16" stopIfTrue="1">
      <formula>MOD(#REF!,2)=1</formula>
    </cfRule>
  </conditionalFormatting>
  <conditionalFormatting sqref="E13">
    <cfRule type="expression" dxfId="14" priority="15" stopIfTrue="1">
      <formula>MOD(#REF!,2)=1</formula>
    </cfRule>
  </conditionalFormatting>
  <conditionalFormatting sqref="G34">
    <cfRule type="expression" dxfId="13" priority="5" stopIfTrue="1">
      <formula>MOD(#REF!,2)=1</formula>
    </cfRule>
  </conditionalFormatting>
  <conditionalFormatting sqref="G23">
    <cfRule type="expression" dxfId="12" priority="7" stopIfTrue="1">
      <formula>MOD(#REF!,2)=1</formula>
    </cfRule>
  </conditionalFormatting>
  <conditionalFormatting sqref="G47">
    <cfRule type="expression" dxfId="11" priority="4" stopIfTrue="1">
      <formula>MOD(#REF!,2)=1</formula>
    </cfRule>
  </conditionalFormatting>
  <conditionalFormatting sqref="G12 G48:G49">
    <cfRule type="expression" dxfId="10" priority="3" stopIfTrue="1">
      <formula>MOD(#REF!,2)=1</formula>
    </cfRule>
  </conditionalFormatting>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sheetPr>
    <tabColor theme="5"/>
  </sheetPr>
  <dimension ref="A1:K34"/>
  <sheetViews>
    <sheetView workbookViewId="0">
      <selection activeCell="E27" sqref="E27"/>
    </sheetView>
  </sheetViews>
  <sheetFormatPr defaultRowHeight="12.75"/>
  <cols>
    <col min="1" max="1" width="9.85546875" style="565" bestFit="1" customWidth="1"/>
    <col min="2" max="2" width="7.85546875" style="565" customWidth="1"/>
    <col min="3" max="3" width="30.5703125" style="565" customWidth="1"/>
    <col min="4" max="6" width="10.28515625" style="565" customWidth="1"/>
    <col min="7" max="7" width="1.5703125" style="565" customWidth="1"/>
    <col min="8" max="8" width="14" style="565" bestFit="1" customWidth="1"/>
    <col min="9" max="11" width="10.28515625" style="565" customWidth="1"/>
    <col min="12" max="12" width="30.140625" style="565" bestFit="1" customWidth="1"/>
    <col min="13" max="13" width="13.85546875" style="565" bestFit="1" customWidth="1"/>
    <col min="14" max="14" width="15.42578125" style="565" bestFit="1" customWidth="1"/>
    <col min="15" max="16384" width="9.140625" style="565"/>
  </cols>
  <sheetData>
    <row r="1" spans="1:11">
      <c r="A1" s="126" t="s">
        <v>91</v>
      </c>
      <c r="B1" s="126" t="str">
        <f>'ORTP Summary'!C1</f>
        <v>ISO-NE ORTP 2013 Study</v>
      </c>
    </row>
    <row r="2" spans="1:11">
      <c r="A2" s="126" t="s">
        <v>92</v>
      </c>
      <c r="B2" s="140" t="s">
        <v>113</v>
      </c>
    </row>
    <row r="3" spans="1:11">
      <c r="A3" s="126" t="s">
        <v>114</v>
      </c>
      <c r="B3" s="95" t="s">
        <v>401</v>
      </c>
    </row>
    <row r="5" spans="1:11" ht="6" customHeight="1" thickBot="1">
      <c r="B5" s="579"/>
      <c r="C5" s="579"/>
      <c r="D5" s="579"/>
      <c r="E5" s="579"/>
      <c r="F5" s="579"/>
      <c r="G5" s="579"/>
      <c r="H5" s="579"/>
      <c r="I5" s="579"/>
      <c r="J5" s="579"/>
      <c r="K5" s="579"/>
    </row>
    <row r="6" spans="1:11" ht="6" customHeight="1" thickTop="1"/>
    <row r="7" spans="1:11">
      <c r="C7" s="566" t="s">
        <v>78</v>
      </c>
      <c r="D7" s="567"/>
      <c r="E7" s="567"/>
      <c r="F7" s="567"/>
      <c r="H7" s="566" t="s">
        <v>79</v>
      </c>
      <c r="I7" s="567"/>
      <c r="J7" s="567"/>
      <c r="K7" s="567"/>
    </row>
    <row r="8" spans="1:11">
      <c r="A8" s="568"/>
      <c r="B8" s="568" t="s">
        <v>402</v>
      </c>
      <c r="C8" s="568" t="s">
        <v>366</v>
      </c>
      <c r="D8" s="575" t="s">
        <v>365</v>
      </c>
      <c r="E8" s="575" t="s">
        <v>398</v>
      </c>
      <c r="F8" s="575" t="s">
        <v>77</v>
      </c>
      <c r="G8" s="568"/>
      <c r="H8" s="568" t="s">
        <v>366</v>
      </c>
      <c r="I8" s="575" t="s">
        <v>365</v>
      </c>
      <c r="J8" s="575" t="s">
        <v>398</v>
      </c>
      <c r="K8" s="575" t="s">
        <v>77</v>
      </c>
    </row>
    <row r="9" spans="1:11">
      <c r="A9" s="568"/>
      <c r="B9" s="568"/>
      <c r="C9" s="568"/>
      <c r="D9" s="575" t="s">
        <v>400</v>
      </c>
      <c r="E9" s="575" t="s">
        <v>399</v>
      </c>
      <c r="F9" s="575" t="s">
        <v>399</v>
      </c>
      <c r="G9" s="568"/>
      <c r="H9" s="568"/>
      <c r="I9" s="575" t="s">
        <v>400</v>
      </c>
      <c r="J9" s="575" t="s">
        <v>399</v>
      </c>
      <c r="K9" s="575" t="s">
        <v>399</v>
      </c>
    </row>
    <row r="10" spans="1:11" ht="6" customHeight="1">
      <c r="A10" s="568"/>
      <c r="B10" s="580"/>
      <c r="C10" s="580"/>
      <c r="D10" s="581"/>
      <c r="E10" s="581"/>
      <c r="F10" s="581"/>
      <c r="G10" s="580"/>
      <c r="H10" s="580"/>
      <c r="I10" s="581"/>
      <c r="J10" s="581"/>
      <c r="K10" s="581"/>
    </row>
    <row r="11" spans="1:11" ht="6" customHeight="1">
      <c r="A11" s="568"/>
      <c r="B11" s="568"/>
      <c r="C11" s="568"/>
      <c r="D11" s="569"/>
      <c r="E11" s="569"/>
      <c r="F11" s="569"/>
      <c r="G11" s="568"/>
      <c r="H11" s="568"/>
      <c r="I11" s="569"/>
      <c r="J11" s="569"/>
      <c r="K11" s="569"/>
    </row>
    <row r="12" spans="1:11">
      <c r="B12" s="588" t="s">
        <v>352</v>
      </c>
      <c r="C12" s="588"/>
      <c r="D12" s="589"/>
      <c r="E12" s="589"/>
      <c r="F12" s="589"/>
      <c r="G12" s="589"/>
      <c r="H12" s="589"/>
      <c r="I12" s="589"/>
      <c r="J12" s="589"/>
      <c r="K12" s="589"/>
    </row>
    <row r="13" spans="1:11">
      <c r="C13" s="565" t="s">
        <v>369</v>
      </c>
      <c r="D13" s="571">
        <v>0</v>
      </c>
      <c r="E13" s="572">
        <v>4.5</v>
      </c>
      <c r="F13" s="573">
        <f>D13*E13</f>
        <v>0</v>
      </c>
      <c r="H13" s="565" t="s">
        <v>368</v>
      </c>
      <c r="I13" s="571">
        <v>0</v>
      </c>
      <c r="J13" s="572">
        <f>2.4*(1+'CONE Calcs'!Inflation)^2</f>
        <v>2.5092149999999998</v>
      </c>
      <c r="K13" s="576">
        <f>I13*J13</f>
        <v>0</v>
      </c>
    </row>
    <row r="14" spans="1:11">
      <c r="C14" s="565" t="s">
        <v>363</v>
      </c>
      <c r="D14" s="571">
        <v>2</v>
      </c>
      <c r="E14" s="572">
        <v>2</v>
      </c>
      <c r="F14" s="573">
        <f>D14*E14</f>
        <v>4</v>
      </c>
      <c r="H14" s="565" t="s">
        <v>367</v>
      </c>
      <c r="I14" s="571">
        <v>1</v>
      </c>
      <c r="J14" s="572">
        <f>ROUND(3.48*(1+'CONE Calcs'!Inflation)^2,1)</f>
        <v>3.6</v>
      </c>
      <c r="K14" s="576">
        <f>I14*J14</f>
        <v>3.6</v>
      </c>
    </row>
    <row r="15" spans="1:11">
      <c r="C15" s="565" t="s">
        <v>371</v>
      </c>
      <c r="D15" s="571">
        <v>1</v>
      </c>
      <c r="E15" s="572">
        <v>12</v>
      </c>
      <c r="F15" s="573">
        <f>D15*E15</f>
        <v>12</v>
      </c>
      <c r="I15" s="571"/>
      <c r="J15" s="571"/>
      <c r="K15" s="576"/>
    </row>
    <row r="16" spans="1:11">
      <c r="C16" s="570" t="s">
        <v>234</v>
      </c>
      <c r="D16" s="571"/>
      <c r="E16" s="571"/>
      <c r="F16" s="574">
        <f>SUM(F13:F15)</f>
        <v>16</v>
      </c>
      <c r="H16" s="570" t="s">
        <v>234</v>
      </c>
      <c r="I16" s="577"/>
      <c r="J16" s="577"/>
      <c r="K16" s="578">
        <f>SUM(K13:K15)</f>
        <v>3.6</v>
      </c>
    </row>
    <row r="17" spans="2:11" ht="6" customHeight="1">
      <c r="B17" s="585"/>
      <c r="C17" s="582"/>
      <c r="D17" s="583"/>
      <c r="E17" s="583"/>
      <c r="F17" s="584"/>
      <c r="G17" s="585"/>
      <c r="H17" s="582"/>
      <c r="I17" s="586"/>
      <c r="J17" s="586"/>
      <c r="K17" s="587"/>
    </row>
    <row r="18" spans="2:11" ht="6" customHeight="1">
      <c r="C18" s="570"/>
      <c r="D18" s="571"/>
      <c r="E18" s="571"/>
      <c r="F18" s="574"/>
      <c r="H18" s="570"/>
      <c r="I18" s="577"/>
      <c r="J18" s="577"/>
      <c r="K18" s="578"/>
    </row>
    <row r="19" spans="2:11">
      <c r="B19" s="588" t="s">
        <v>370</v>
      </c>
      <c r="C19" s="588"/>
      <c r="D19" s="590"/>
      <c r="E19" s="590"/>
      <c r="F19" s="590"/>
      <c r="G19" s="591"/>
      <c r="H19" s="591"/>
      <c r="I19" s="590"/>
      <c r="J19" s="590"/>
      <c r="K19" s="590"/>
    </row>
    <row r="20" spans="2:11">
      <c r="C20" s="565" t="s">
        <v>369</v>
      </c>
      <c r="D20" s="571">
        <v>0</v>
      </c>
      <c r="E20" s="571">
        <v>4.5</v>
      </c>
      <c r="F20" s="573">
        <f>D20*E20</f>
        <v>0</v>
      </c>
      <c r="H20" s="565" t="s">
        <v>368</v>
      </c>
      <c r="I20" s="571">
        <v>0</v>
      </c>
      <c r="J20" s="572">
        <f>2.4*(1+'CONE Calcs'!Inflation)^2</f>
        <v>2.5092149999999998</v>
      </c>
      <c r="K20" s="576">
        <f>I20*J20</f>
        <v>0</v>
      </c>
    </row>
    <row r="21" spans="2:11">
      <c r="C21" s="565" t="s">
        <v>363</v>
      </c>
      <c r="D21" s="571">
        <v>2</v>
      </c>
      <c r="E21" s="572">
        <v>2</v>
      </c>
      <c r="F21" s="573">
        <f>D21*E21</f>
        <v>4</v>
      </c>
      <c r="H21" s="565" t="s">
        <v>367</v>
      </c>
      <c r="I21" s="571">
        <v>1</v>
      </c>
      <c r="J21" s="572">
        <f>ROUND(3.48*(1+'CONE Calcs'!Inflation)^2,1)</f>
        <v>3.6</v>
      </c>
      <c r="K21" s="576">
        <f>I21*J21</f>
        <v>3.6</v>
      </c>
    </row>
    <row r="22" spans="2:11">
      <c r="C22" s="570" t="s">
        <v>234</v>
      </c>
      <c r="D22" s="571"/>
      <c r="E22" s="571"/>
      <c r="F22" s="574">
        <f>SUM(F20:F21)</f>
        <v>4</v>
      </c>
      <c r="H22" s="570" t="s">
        <v>234</v>
      </c>
      <c r="I22" s="577"/>
      <c r="J22" s="577"/>
      <c r="K22" s="578">
        <f>SUM(K20:K21)</f>
        <v>3.6</v>
      </c>
    </row>
    <row r="23" spans="2:11" ht="6" customHeight="1">
      <c r="B23" s="585"/>
      <c r="C23" s="582"/>
      <c r="D23" s="583"/>
      <c r="E23" s="583"/>
      <c r="F23" s="584"/>
      <c r="G23" s="585"/>
      <c r="H23" s="585"/>
      <c r="I23" s="585"/>
      <c r="J23" s="585"/>
      <c r="K23" s="585"/>
    </row>
    <row r="24" spans="2:11" ht="6" customHeight="1">
      <c r="C24" s="570"/>
      <c r="D24" s="571"/>
      <c r="E24" s="571"/>
      <c r="F24" s="574"/>
    </row>
    <row r="25" spans="2:11">
      <c r="B25" s="588" t="s">
        <v>101</v>
      </c>
      <c r="C25" s="588"/>
      <c r="D25" s="592"/>
      <c r="E25" s="592"/>
      <c r="F25" s="592"/>
      <c r="G25" s="591"/>
      <c r="H25" s="591"/>
      <c r="I25" s="591"/>
      <c r="J25" s="591"/>
      <c r="K25" s="591"/>
    </row>
    <row r="26" spans="2:11">
      <c r="C26" s="565" t="s">
        <v>364</v>
      </c>
      <c r="D26" s="571">
        <v>10</v>
      </c>
      <c r="E26" s="572">
        <v>1.7</v>
      </c>
      <c r="F26" s="573">
        <f>D26*E26</f>
        <v>17</v>
      </c>
    </row>
    <row r="27" spans="2:11">
      <c r="C27" s="565" t="s">
        <v>363</v>
      </c>
      <c r="D27" s="571">
        <v>2</v>
      </c>
      <c r="E27" s="572">
        <v>1</v>
      </c>
      <c r="F27" s="573">
        <f>D27*E27</f>
        <v>2</v>
      </c>
    </row>
    <row r="28" spans="2:11">
      <c r="C28" s="570" t="s">
        <v>234</v>
      </c>
      <c r="D28" s="571"/>
      <c r="E28" s="571"/>
      <c r="F28" s="574">
        <f>SUM(F26:F27)</f>
        <v>19</v>
      </c>
    </row>
    <row r="29" spans="2:11" ht="6" customHeight="1" thickBot="1">
      <c r="B29" s="579"/>
      <c r="C29" s="579"/>
      <c r="D29" s="579"/>
      <c r="E29" s="579"/>
      <c r="F29" s="579"/>
      <c r="G29" s="579"/>
      <c r="H29" s="579"/>
      <c r="I29" s="579"/>
      <c r="J29" s="579"/>
      <c r="K29" s="579"/>
    </row>
    <row r="30" spans="2:11" ht="6" customHeight="1" thickTop="1"/>
    <row r="31" spans="2:11">
      <c r="B31" s="18" t="s">
        <v>410</v>
      </c>
    </row>
    <row r="33" spans="2:3">
      <c r="B33" s="565" t="s">
        <v>547</v>
      </c>
      <c r="C33" s="565" t="s">
        <v>833</v>
      </c>
    </row>
    <row r="34" spans="2:3">
      <c r="C34" s="565" t="s">
        <v>832</v>
      </c>
    </row>
  </sheetData>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sheetPr codeName="Sheet10">
    <tabColor theme="5"/>
  </sheetPr>
  <dimension ref="A1:AV20"/>
  <sheetViews>
    <sheetView topLeftCell="B1" zoomScaleNormal="100" workbookViewId="0">
      <selection activeCell="B1" sqref="B1"/>
    </sheetView>
  </sheetViews>
  <sheetFormatPr defaultRowHeight="12.75" outlineLevelCol="1"/>
  <cols>
    <col min="1" max="1" width="7.42578125" style="69" hidden="1" customWidth="1" outlineLevel="1"/>
    <col min="2" max="2" width="11" style="74" bestFit="1" customWidth="1" collapsed="1"/>
    <col min="3" max="3" width="25.7109375" style="74" customWidth="1"/>
    <col min="4" max="4" width="11.42578125" style="74" customWidth="1"/>
    <col min="5" max="5" width="1" style="74" customWidth="1"/>
    <col min="6" max="6" width="7.140625" style="74" customWidth="1"/>
    <col min="7" max="9" width="8.7109375" style="74" customWidth="1"/>
    <col min="10" max="11" width="8.85546875" style="74" customWidth="1"/>
    <col min="12" max="12" width="9.140625" style="74"/>
    <col min="13" max="13" width="9.85546875" style="74" customWidth="1"/>
    <col min="14" max="16" width="9.140625" style="74" customWidth="1"/>
    <col min="17" max="16384" width="9.140625" style="74"/>
  </cols>
  <sheetData>
    <row r="1" spans="1:48">
      <c r="B1" s="126" t="s">
        <v>91</v>
      </c>
      <c r="C1" s="126" t="str">
        <f>'ORTP Summary'!C1</f>
        <v>ISO-NE ORTP 2013 Study</v>
      </c>
    </row>
    <row r="2" spans="1:48">
      <c r="B2" s="126" t="s">
        <v>92</v>
      </c>
      <c r="C2" s="140" t="s">
        <v>113</v>
      </c>
    </row>
    <row r="3" spans="1:48">
      <c r="B3" s="126" t="s">
        <v>114</v>
      </c>
      <c r="C3" s="95" t="s">
        <v>117</v>
      </c>
      <c r="F3" s="97"/>
      <c r="G3" s="97"/>
      <c r="H3" s="97"/>
      <c r="I3" s="97"/>
      <c r="J3" s="97"/>
      <c r="K3" s="97"/>
    </row>
    <row r="4" spans="1:48">
      <c r="C4" s="75"/>
    </row>
    <row r="5" spans="1:48" ht="6" customHeight="1" thickBot="1">
      <c r="C5" s="328"/>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row>
    <row r="6" spans="1:48" ht="6" customHeight="1" thickTop="1">
      <c r="C6" s="75"/>
    </row>
    <row r="7" spans="1:48">
      <c r="C7" s="348" t="s">
        <v>80</v>
      </c>
      <c r="D7" s="348" t="s">
        <v>81</v>
      </c>
      <c r="E7" s="97"/>
      <c r="F7" s="347" t="s">
        <v>237</v>
      </c>
      <c r="G7" s="97"/>
      <c r="H7" s="97"/>
      <c r="I7" s="97"/>
      <c r="J7" s="97"/>
      <c r="K7" s="97"/>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row>
    <row r="8" spans="1:48">
      <c r="C8" s="89"/>
      <c r="D8" s="168" t="s">
        <v>82</v>
      </c>
      <c r="E8" s="349"/>
      <c r="F8" s="350">
        <v>1</v>
      </c>
      <c r="G8" s="350">
        <v>2</v>
      </c>
      <c r="H8" s="350">
        <v>3</v>
      </c>
      <c r="I8" s="350">
        <v>4</v>
      </c>
      <c r="J8" s="350">
        <v>5</v>
      </c>
      <c r="K8" s="350">
        <v>6</v>
      </c>
      <c r="L8" s="350">
        <v>7</v>
      </c>
      <c r="M8" s="350">
        <v>8</v>
      </c>
      <c r="N8" s="350">
        <v>9</v>
      </c>
      <c r="O8" s="350">
        <v>10</v>
      </c>
      <c r="P8" s="350">
        <v>11</v>
      </c>
      <c r="Q8" s="350">
        <v>12</v>
      </c>
      <c r="R8" s="350">
        <v>13</v>
      </c>
      <c r="S8" s="350">
        <v>14</v>
      </c>
      <c r="T8" s="350">
        <v>15</v>
      </c>
      <c r="U8" s="350">
        <v>16</v>
      </c>
      <c r="V8" s="350">
        <v>17</v>
      </c>
      <c r="W8" s="350">
        <v>18</v>
      </c>
      <c r="X8" s="350">
        <v>19</v>
      </c>
      <c r="Y8" s="350">
        <v>20</v>
      </c>
      <c r="Z8" s="350">
        <v>21</v>
      </c>
      <c r="AA8" s="350">
        <v>22</v>
      </c>
      <c r="AB8" s="350">
        <v>23</v>
      </c>
      <c r="AC8" s="350">
        <v>24</v>
      </c>
      <c r="AD8" s="350">
        <v>25</v>
      </c>
      <c r="AE8" s="350">
        <v>26</v>
      </c>
      <c r="AF8" s="350">
        <v>27</v>
      </c>
      <c r="AG8" s="350">
        <v>28</v>
      </c>
      <c r="AH8" s="350">
        <v>29</v>
      </c>
      <c r="AI8" s="350">
        <v>30</v>
      </c>
      <c r="AJ8" s="350">
        <v>31</v>
      </c>
      <c r="AK8" s="350">
        <v>32</v>
      </c>
      <c r="AL8" s="350">
        <v>33</v>
      </c>
      <c r="AM8" s="350">
        <v>34</v>
      </c>
      <c r="AN8" s="350">
        <v>35</v>
      </c>
      <c r="AO8" s="350">
        <v>36</v>
      </c>
      <c r="AP8" s="350">
        <v>37</v>
      </c>
      <c r="AQ8" s="350">
        <v>38</v>
      </c>
      <c r="AR8" s="350">
        <v>39</v>
      </c>
      <c r="AS8" s="350">
        <v>40</v>
      </c>
      <c r="AT8" s="350" t="s">
        <v>234</v>
      </c>
      <c r="AU8" s="80"/>
      <c r="AV8" s="80"/>
    </row>
    <row r="9" spans="1:48" ht="6" customHeight="1">
      <c r="C9" s="93"/>
      <c r="D9" s="160"/>
      <c r="E9" s="94"/>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80"/>
      <c r="AV9" s="80"/>
    </row>
    <row r="10" spans="1:48" ht="6" customHeight="1">
      <c r="C10" s="89"/>
      <c r="D10" s="150"/>
      <c r="E10" s="349"/>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80"/>
      <c r="AV10" s="80"/>
    </row>
    <row r="11" spans="1:48">
      <c r="A11" s="267" t="s">
        <v>66</v>
      </c>
      <c r="B11" s="403"/>
      <c r="C11" s="272" t="str">
        <f>'Unit Specifications'!C8</f>
        <v>Combustion Turbine</v>
      </c>
      <c r="D11" s="280">
        <v>20</v>
      </c>
      <c r="E11" s="400"/>
      <c r="F11" s="401">
        <v>3.6345750544283903E-3</v>
      </c>
      <c r="G11" s="401">
        <v>4.3246615315099962E-3</v>
      </c>
      <c r="H11" s="401">
        <v>2.6095367371883692E-2</v>
      </c>
      <c r="I11" s="401">
        <v>8.044825405877901E-3</v>
      </c>
      <c r="J11" s="401">
        <v>1.7548060214536962E-2</v>
      </c>
      <c r="K11" s="401">
        <v>1.1106063474476697E-2</v>
      </c>
      <c r="L11" s="401">
        <v>2.1764487145229324E-2</v>
      </c>
      <c r="M11" s="401">
        <v>2.8867507247646924E-2</v>
      </c>
      <c r="N11" s="401">
        <v>4.0290317125445826E-2</v>
      </c>
      <c r="O11" s="401">
        <v>6.6970801907248079E-2</v>
      </c>
      <c r="P11" s="401">
        <v>8.1358588176437194E-2</v>
      </c>
      <c r="Q11" s="401">
        <v>0.10406969603932698</v>
      </c>
      <c r="R11" s="401">
        <v>0.11570064992021414</v>
      </c>
      <c r="S11" s="401">
        <v>0.12273842162974175</v>
      </c>
      <c r="T11" s="401">
        <v>0.11488866239495879</v>
      </c>
      <c r="U11" s="401">
        <v>0.10159528111144354</v>
      </c>
      <c r="V11" s="401">
        <v>7.7087149238058969E-2</v>
      </c>
      <c r="W11" s="401">
        <v>4.2846180143918167E-2</v>
      </c>
      <c r="X11" s="401">
        <v>9.0524323481927273E-3</v>
      </c>
      <c r="Y11" s="401">
        <v>2.0162725194239704E-3</v>
      </c>
      <c r="Z11" s="401">
        <v>0</v>
      </c>
      <c r="AA11" s="401">
        <v>0</v>
      </c>
      <c r="AB11" s="401">
        <v>0</v>
      </c>
      <c r="AC11" s="401">
        <v>0</v>
      </c>
      <c r="AD11" s="401">
        <v>0</v>
      </c>
      <c r="AE11" s="401">
        <v>0</v>
      </c>
      <c r="AF11" s="401">
        <v>0</v>
      </c>
      <c r="AG11" s="401">
        <v>0</v>
      </c>
      <c r="AH11" s="401">
        <v>0</v>
      </c>
      <c r="AI11" s="401">
        <v>0</v>
      </c>
      <c r="AJ11" s="401">
        <v>0</v>
      </c>
      <c r="AK11" s="401">
        <v>0</v>
      </c>
      <c r="AL11" s="401">
        <v>0</v>
      </c>
      <c r="AM11" s="401">
        <v>0</v>
      </c>
      <c r="AN11" s="401">
        <v>0</v>
      </c>
      <c r="AO11" s="401">
        <v>0</v>
      </c>
      <c r="AP11" s="401">
        <v>0</v>
      </c>
      <c r="AQ11" s="401">
        <v>0</v>
      </c>
      <c r="AR11" s="401">
        <v>0</v>
      </c>
      <c r="AS11" s="401">
        <v>0</v>
      </c>
      <c r="AT11" s="401">
        <f>SUM($F11:$AS11)</f>
        <v>0.99999999999999989</v>
      </c>
      <c r="AU11" s="80"/>
      <c r="AV11" s="80"/>
    </row>
    <row r="12" spans="1:48">
      <c r="A12" s="267" t="s">
        <v>67</v>
      </c>
      <c r="B12" s="403"/>
      <c r="C12" s="272" t="str">
        <f>'Unit Specifications'!D8</f>
        <v>Combined Cycle Gas Turbine</v>
      </c>
      <c r="D12" s="280">
        <v>36</v>
      </c>
      <c r="E12" s="400"/>
      <c r="F12" s="401">
        <v>1.4520547938007245E-4</v>
      </c>
      <c r="G12" s="401">
        <v>4.2109589020221003E-4</v>
      </c>
      <c r="H12" s="401">
        <v>4.2109589020221003E-4</v>
      </c>
      <c r="I12" s="401">
        <v>1.4194410951867549E-2</v>
      </c>
      <c r="J12" s="401">
        <v>1.3896076705440101E-2</v>
      </c>
      <c r="K12" s="401">
        <v>1.9624368647805906E-3</v>
      </c>
      <c r="L12" s="401">
        <v>3.1395546559778828E-3</v>
      </c>
      <c r="M12" s="401">
        <v>1.223115083205845E-2</v>
      </c>
      <c r="N12" s="401">
        <v>1.2886035020226954E-2</v>
      </c>
      <c r="O12" s="401">
        <v>1.0808295668736399E-2</v>
      </c>
      <c r="P12" s="401">
        <v>1.1377212398837934E-2</v>
      </c>
      <c r="Q12" s="401">
        <v>1.2089525466293039E-2</v>
      </c>
      <c r="R12" s="401">
        <v>2.1148885124281522E-2</v>
      </c>
      <c r="S12" s="401">
        <v>2.3124128144617406E-2</v>
      </c>
      <c r="T12" s="401">
        <v>3.2734706096853181E-2</v>
      </c>
      <c r="U12" s="401">
        <v>3.5735592295243791E-2</v>
      </c>
      <c r="V12" s="401">
        <v>4.0728058502727781E-2</v>
      </c>
      <c r="W12" s="401">
        <v>4.4777924656788655E-2</v>
      </c>
      <c r="X12" s="401">
        <v>5.2435498050088465E-2</v>
      </c>
      <c r="Y12" s="401">
        <v>5.3445016597341452E-2</v>
      </c>
      <c r="Z12" s="401">
        <v>5.218547486073296E-2</v>
      </c>
      <c r="AA12" s="401">
        <v>5.3813163173624709E-2</v>
      </c>
      <c r="AB12" s="401">
        <v>5.1088094134564638E-2</v>
      </c>
      <c r="AC12" s="401">
        <v>5.0640682972676834E-2</v>
      </c>
      <c r="AD12" s="401">
        <v>5.2326734576525952E-2</v>
      </c>
      <c r="AE12" s="401">
        <v>5.2185332685582342E-2</v>
      </c>
      <c r="AF12" s="401">
        <v>5.2622835028680537E-2</v>
      </c>
      <c r="AG12" s="401">
        <v>4.9369614408772695E-2</v>
      </c>
      <c r="AH12" s="401">
        <v>4.8578040576987024E-2</v>
      </c>
      <c r="AI12" s="401">
        <v>4.1522916624046086E-2</v>
      </c>
      <c r="AJ12" s="401">
        <v>3.7672670062762974E-2</v>
      </c>
      <c r="AK12" s="401">
        <v>3.0141570870647037E-2</v>
      </c>
      <c r="AL12" s="401">
        <v>2.1781152120092892E-2</v>
      </c>
      <c r="AM12" s="401">
        <v>5.9833603494311438E-3</v>
      </c>
      <c r="AN12" s="401">
        <v>1.3881033917091392E-3</v>
      </c>
      <c r="AO12" s="401">
        <v>9.9834887121741985E-4</v>
      </c>
      <c r="AP12" s="401">
        <v>0</v>
      </c>
      <c r="AQ12" s="401">
        <v>0</v>
      </c>
      <c r="AR12" s="401">
        <v>0</v>
      </c>
      <c r="AS12" s="401">
        <v>0</v>
      </c>
      <c r="AT12" s="401">
        <f>SUM($F12:$AS12)</f>
        <v>1.0000000000000002</v>
      </c>
      <c r="AU12" s="80"/>
      <c r="AV12" s="80"/>
    </row>
    <row r="13" spans="1:48">
      <c r="A13" s="267" t="s">
        <v>101</v>
      </c>
      <c r="B13" s="403"/>
      <c r="C13" s="272" t="str">
        <f>'Unit Specifications'!E8</f>
        <v>On-Shore Wind</v>
      </c>
      <c r="D13" s="280">
        <v>32</v>
      </c>
      <c r="E13" s="400"/>
      <c r="F13" s="401">
        <v>1E-3</v>
      </c>
      <c r="G13" s="401">
        <v>2E-3</v>
      </c>
      <c r="H13" s="401">
        <v>2E-3</v>
      </c>
      <c r="I13" s="401">
        <v>4.0000000000000001E-3</v>
      </c>
      <c r="J13" s="401">
        <v>4.0000000000000001E-3</v>
      </c>
      <c r="K13" s="401">
        <v>4.0000000000000001E-3</v>
      </c>
      <c r="L13" s="401">
        <v>4.0000000000000001E-3</v>
      </c>
      <c r="M13" s="401">
        <v>4.0000000000000001E-3</v>
      </c>
      <c r="N13" s="401">
        <v>4.0000000000000001E-3</v>
      </c>
      <c r="O13" s="401">
        <v>3.6999999999999998E-2</v>
      </c>
      <c r="P13" s="401">
        <v>3.6999999999999998E-2</v>
      </c>
      <c r="Q13" s="401">
        <v>3.6999999999999998E-2</v>
      </c>
      <c r="R13" s="401">
        <v>2.5000000000000001E-2</v>
      </c>
      <c r="S13" s="401">
        <v>2.5000000000000001E-2</v>
      </c>
      <c r="T13" s="401">
        <v>2.5000000000000001E-2</v>
      </c>
      <c r="U13" s="401">
        <v>2.5000000000000001E-2</v>
      </c>
      <c r="V13" s="401">
        <v>2.5000000000000001E-2</v>
      </c>
      <c r="W13" s="401">
        <v>2.5000000000000001E-2</v>
      </c>
      <c r="X13" s="401">
        <v>2.5000000000000001E-2</v>
      </c>
      <c r="Y13" s="401">
        <v>2.5000000000000001E-2</v>
      </c>
      <c r="Z13" s="401">
        <v>2.5000000000000001E-2</v>
      </c>
      <c r="AA13" s="401">
        <v>0.113</v>
      </c>
      <c r="AB13" s="401">
        <v>0.113</v>
      </c>
      <c r="AC13" s="401">
        <v>0.113</v>
      </c>
      <c r="AD13" s="401">
        <v>4.8000000000000001E-2</v>
      </c>
      <c r="AE13" s="401">
        <v>4.8000000000000001E-2</v>
      </c>
      <c r="AF13" s="401">
        <v>4.8000000000000001E-2</v>
      </c>
      <c r="AG13" s="401">
        <v>4.8000000000000001E-2</v>
      </c>
      <c r="AH13" s="401">
        <v>4.8000000000000001E-2</v>
      </c>
      <c r="AI13" s="401">
        <v>4.8000000000000001E-2</v>
      </c>
      <c r="AJ13" s="401">
        <v>6.0000000000000001E-3</v>
      </c>
      <c r="AK13" s="401">
        <v>2E-3</v>
      </c>
      <c r="AL13" s="402">
        <v>0</v>
      </c>
      <c r="AM13" s="402">
        <v>0</v>
      </c>
      <c r="AN13" s="402">
        <v>0</v>
      </c>
      <c r="AO13" s="402">
        <v>0</v>
      </c>
      <c r="AP13" s="402">
        <v>0</v>
      </c>
      <c r="AQ13" s="402">
        <v>0</v>
      </c>
      <c r="AR13" s="402">
        <v>0</v>
      </c>
      <c r="AS13" s="402">
        <v>0</v>
      </c>
      <c r="AT13" s="401">
        <f>SUM($F13:$AS13)</f>
        <v>1.0000000000000002</v>
      </c>
    </row>
    <row r="14" spans="1:48">
      <c r="A14" s="267" t="s">
        <v>406</v>
      </c>
      <c r="B14" s="403"/>
      <c r="C14" s="272" t="s">
        <v>404</v>
      </c>
      <c r="D14" s="1148">
        <v>24</v>
      </c>
      <c r="E14" s="314"/>
      <c r="F14" s="402">
        <v>1.1738698030059154E-3</v>
      </c>
      <c r="G14" s="402">
        <v>1.5388842158528494E-3</v>
      </c>
      <c r="H14" s="402">
        <v>4.7889760491112952E-3</v>
      </c>
      <c r="I14" s="402">
        <v>5.2656563719752887E-3</v>
      </c>
      <c r="J14" s="402">
        <v>3.4053067432520253E-3</v>
      </c>
      <c r="K14" s="402">
        <v>4.9891792113618697E-3</v>
      </c>
      <c r="L14" s="402">
        <v>6.3970965571826469E-3</v>
      </c>
      <c r="M14" s="402">
        <v>1.6423500502308085E-2</v>
      </c>
      <c r="N14" s="402">
        <v>1.7755479001391641E-2</v>
      </c>
      <c r="O14" s="402">
        <v>1.5299298166409687E-2</v>
      </c>
      <c r="P14" s="402">
        <v>1.7838836267042982E-2</v>
      </c>
      <c r="Q14" s="402">
        <v>2.2285583730676694E-2</v>
      </c>
      <c r="R14" s="402">
        <v>5.0566078406848833E-2</v>
      </c>
      <c r="S14" s="402">
        <v>5.8136447694478774E-2</v>
      </c>
      <c r="T14" s="402">
        <v>6.2936778486608044E-2</v>
      </c>
      <c r="U14" s="402">
        <v>8.0714899418343838E-2</v>
      </c>
      <c r="V14" s="402">
        <v>0.15454494643091463</v>
      </c>
      <c r="W14" s="402">
        <v>0.15133099334155328</v>
      </c>
      <c r="X14" s="402">
        <v>9.1301218245494212E-2</v>
      </c>
      <c r="Y14" s="402">
        <v>8.1266772118801456E-2</v>
      </c>
      <c r="Z14" s="402">
        <v>6.8243615002544986E-2</v>
      </c>
      <c r="AA14" s="402">
        <v>5.4315774543241213E-2</v>
      </c>
      <c r="AB14" s="402">
        <v>2.6022149845729085E-2</v>
      </c>
      <c r="AC14" s="402">
        <v>3.4885114731701924E-3</v>
      </c>
      <c r="AD14" s="402">
        <v>0</v>
      </c>
      <c r="AE14" s="402">
        <v>0</v>
      </c>
      <c r="AF14" s="402">
        <v>0</v>
      </c>
      <c r="AG14" s="402">
        <v>0</v>
      </c>
      <c r="AH14" s="402">
        <v>0</v>
      </c>
      <c r="AI14" s="402">
        <v>0</v>
      </c>
      <c r="AJ14" s="402">
        <v>0</v>
      </c>
      <c r="AK14" s="402">
        <v>0</v>
      </c>
      <c r="AL14" s="402">
        <v>0</v>
      </c>
      <c r="AM14" s="402">
        <v>0</v>
      </c>
      <c r="AN14" s="402">
        <v>0</v>
      </c>
      <c r="AO14" s="402">
        <v>0</v>
      </c>
      <c r="AP14" s="402">
        <v>0</v>
      </c>
      <c r="AQ14" s="402">
        <v>0</v>
      </c>
      <c r="AR14" s="402">
        <v>0</v>
      </c>
      <c r="AS14" s="402">
        <v>0</v>
      </c>
      <c r="AT14" s="401">
        <f>SUM($F14:$AS14)</f>
        <v>1.0000298516272994</v>
      </c>
    </row>
    <row r="15" spans="1:48" ht="6" customHeight="1" thickBot="1">
      <c r="C15" s="337"/>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96"/>
      <c r="AV15" s="96"/>
    </row>
    <row r="16" spans="1:48" ht="6" customHeight="1" thickTop="1"/>
    <row r="20" spans="6:6">
      <c r="F20" s="314"/>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31" enableFormatConditionsCalculation="0">
    <tabColor theme="5"/>
  </sheetPr>
  <dimension ref="A1:P61"/>
  <sheetViews>
    <sheetView zoomScaleNormal="100" workbookViewId="0">
      <pane ySplit="9" topLeftCell="A10" activePane="bottomLeft" state="frozen"/>
      <selection activeCell="X8" sqref="X8"/>
      <selection pane="bottomLeft"/>
    </sheetView>
  </sheetViews>
  <sheetFormatPr defaultColWidth="8" defaultRowHeight="12.75" outlineLevelRow="1"/>
  <cols>
    <col min="1" max="1" width="11" style="6" bestFit="1" customWidth="1"/>
    <col min="2" max="11" width="14.5703125" style="6" customWidth="1"/>
    <col min="12" max="16384" width="8" style="6"/>
  </cols>
  <sheetData>
    <row r="1" spans="1:16" s="126" customFormat="1">
      <c r="A1" s="126" t="s">
        <v>91</v>
      </c>
      <c r="B1" s="126" t="str">
        <f>'ORTP Summary'!C1</f>
        <v>ISO-NE ORTP 2013 Study</v>
      </c>
    </row>
    <row r="2" spans="1:16" s="126" customFormat="1">
      <c r="A2" s="126" t="s">
        <v>92</v>
      </c>
      <c r="B2" s="140" t="s">
        <v>113</v>
      </c>
    </row>
    <row r="3" spans="1:16" s="126" customFormat="1">
      <c r="A3" s="126" t="s">
        <v>114</v>
      </c>
      <c r="B3" s="95" t="s">
        <v>115</v>
      </c>
    </row>
    <row r="4" spans="1:16" s="126" customFormat="1">
      <c r="B4" s="95"/>
    </row>
    <row r="5" spans="1:16" s="31" customFormat="1" hidden="1" outlineLevel="1">
      <c r="A5" s="31" t="s">
        <v>39</v>
      </c>
      <c r="B5" s="31" t="s">
        <v>40</v>
      </c>
    </row>
    <row r="6" spans="1:16" s="31" customFormat="1" hidden="1" outlineLevel="1">
      <c r="B6" s="32" t="s">
        <v>41</v>
      </c>
      <c r="C6" s="32"/>
    </row>
    <row r="7" spans="1:16" s="33" customFormat="1" hidden="1" outlineLevel="1"/>
    <row r="8" spans="1:16" s="34" customFormat="1" collapsed="1">
      <c r="A8" s="34" t="s">
        <v>42</v>
      </c>
      <c r="B8" s="34" t="s">
        <v>7</v>
      </c>
      <c r="C8" s="34" t="s">
        <v>8</v>
      </c>
      <c r="D8" s="34" t="s">
        <v>9</v>
      </c>
      <c r="E8" s="34" t="s">
        <v>10</v>
      </c>
      <c r="F8" s="34" t="s">
        <v>11</v>
      </c>
      <c r="G8" s="34" t="s">
        <v>12</v>
      </c>
      <c r="H8" s="34" t="s">
        <v>13</v>
      </c>
      <c r="I8" s="34" t="s">
        <v>14</v>
      </c>
      <c r="J8" s="34" t="s">
        <v>15</v>
      </c>
      <c r="K8" s="34" t="s">
        <v>16</v>
      </c>
    </row>
    <row r="9" spans="1:16" ht="6.75" customHeight="1"/>
    <row r="10" spans="1:16">
      <c r="A10" s="6">
        <v>1</v>
      </c>
      <c r="B10" s="41">
        <v>0.35</v>
      </c>
      <c r="C10" s="41">
        <v>0.17499999999999999</v>
      </c>
      <c r="D10" s="41">
        <v>8.7499999999999994E-2</v>
      </c>
      <c r="E10" s="41">
        <v>6.5629999999999994E-2</v>
      </c>
      <c r="F10" s="41">
        <v>0.2</v>
      </c>
      <c r="G10" s="41">
        <v>0.1</v>
      </c>
      <c r="H10" s="41">
        <v>0.05</v>
      </c>
      <c r="I10" s="42">
        <v>3.3333333333333333E-2</v>
      </c>
      <c r="J10" s="41">
        <v>2.5000000000000001E-2</v>
      </c>
      <c r="K10" s="41">
        <v>0.02</v>
      </c>
      <c r="P10" s="30"/>
    </row>
    <row r="11" spans="1:16">
      <c r="A11" s="6">
        <v>2</v>
      </c>
      <c r="B11" s="41">
        <v>0.26</v>
      </c>
      <c r="C11" s="41">
        <v>0.16500000000000001</v>
      </c>
      <c r="D11" s="41">
        <v>9.1300000000000006E-2</v>
      </c>
      <c r="E11" s="41">
        <v>7.0000000000000007E-2</v>
      </c>
      <c r="F11" s="41">
        <v>0.2</v>
      </c>
      <c r="G11" s="41">
        <v>0.1</v>
      </c>
      <c r="H11" s="41">
        <v>0.05</v>
      </c>
      <c r="I11" s="42">
        <v>3.3333333333333333E-2</v>
      </c>
      <c r="J11" s="41">
        <v>2.5000000000000001E-2</v>
      </c>
      <c r="K11" s="41">
        <v>0.02</v>
      </c>
      <c r="P11" s="30"/>
    </row>
    <row r="12" spans="1:16">
      <c r="A12" s="6">
        <v>3</v>
      </c>
      <c r="B12" s="41">
        <v>0.156</v>
      </c>
      <c r="C12" s="41">
        <v>0.13200000000000001</v>
      </c>
      <c r="D12" s="41">
        <v>8.2100000000000006E-2</v>
      </c>
      <c r="E12" s="41">
        <v>6.4820000000000003E-2</v>
      </c>
      <c r="F12" s="41">
        <v>0.2</v>
      </c>
      <c r="G12" s="41">
        <v>0.1</v>
      </c>
      <c r="H12" s="41">
        <v>0.05</v>
      </c>
      <c r="I12" s="42">
        <v>3.3333333333333333E-2</v>
      </c>
      <c r="J12" s="41">
        <v>2.5000000000000001E-2</v>
      </c>
      <c r="K12" s="41">
        <v>0.02</v>
      </c>
      <c r="P12" s="30"/>
    </row>
    <row r="13" spans="1:16">
      <c r="A13" s="6">
        <v>4</v>
      </c>
      <c r="B13" s="41">
        <v>0.1101</v>
      </c>
      <c r="C13" s="41">
        <v>0.1056</v>
      </c>
      <c r="D13" s="41">
        <v>7.3899999999999993E-2</v>
      </c>
      <c r="E13" s="41">
        <v>5.9959999999999999E-2</v>
      </c>
      <c r="F13" s="41">
        <v>0.2</v>
      </c>
      <c r="G13" s="41">
        <v>0.1</v>
      </c>
      <c r="H13" s="41">
        <v>0.05</v>
      </c>
      <c r="I13" s="42">
        <v>3.3333333333333333E-2</v>
      </c>
      <c r="J13" s="41">
        <v>2.5000000000000001E-2</v>
      </c>
      <c r="K13" s="41">
        <v>0.02</v>
      </c>
      <c r="P13" s="30"/>
    </row>
    <row r="14" spans="1:16">
      <c r="A14" s="6">
        <v>5</v>
      </c>
      <c r="B14" s="41">
        <v>0.1101</v>
      </c>
      <c r="C14" s="41">
        <v>8.4500000000000006E-2</v>
      </c>
      <c r="D14" s="41">
        <v>6.6500000000000004E-2</v>
      </c>
      <c r="E14" s="41">
        <v>5.5460000000000002E-2</v>
      </c>
      <c r="F14" s="41">
        <v>0.2</v>
      </c>
      <c r="G14" s="41">
        <v>0.1</v>
      </c>
      <c r="H14" s="41">
        <v>0.05</v>
      </c>
      <c r="I14" s="42">
        <v>3.3333333333333333E-2</v>
      </c>
      <c r="J14" s="41">
        <v>2.5000000000000001E-2</v>
      </c>
      <c r="K14" s="41">
        <v>0.02</v>
      </c>
      <c r="P14" s="30"/>
    </row>
    <row r="15" spans="1:16">
      <c r="A15" s="6">
        <v>6</v>
      </c>
      <c r="B15" s="41">
        <v>1.38E-2</v>
      </c>
      <c r="C15" s="41">
        <v>6.7599999999999993E-2</v>
      </c>
      <c r="D15" s="41">
        <v>5.9900000000000002E-2</v>
      </c>
      <c r="E15" s="41">
        <v>5.1299999999999998E-2</v>
      </c>
      <c r="F15" s="41">
        <v>0</v>
      </c>
      <c r="G15" s="41">
        <v>0.1</v>
      </c>
      <c r="H15" s="41">
        <v>0.05</v>
      </c>
      <c r="I15" s="42">
        <v>3.3333333333333333E-2</v>
      </c>
      <c r="J15" s="41">
        <v>2.5000000000000001E-2</v>
      </c>
      <c r="K15" s="41">
        <v>0.02</v>
      </c>
      <c r="P15" s="30"/>
    </row>
    <row r="16" spans="1:16">
      <c r="A16" s="6">
        <v>7</v>
      </c>
      <c r="B16" s="41">
        <v>0</v>
      </c>
      <c r="C16" s="41">
        <v>6.5500000000000003E-2</v>
      </c>
      <c r="D16" s="41">
        <v>5.8999999999999997E-2</v>
      </c>
      <c r="E16" s="41">
        <v>4.7460000000000002E-2</v>
      </c>
      <c r="F16" s="41">
        <v>0</v>
      </c>
      <c r="G16" s="41">
        <v>0.1</v>
      </c>
      <c r="H16" s="41">
        <v>0.05</v>
      </c>
      <c r="I16" s="42">
        <v>3.3333333333333333E-2</v>
      </c>
      <c r="J16" s="41">
        <v>2.5000000000000001E-2</v>
      </c>
      <c r="K16" s="41">
        <v>0.02</v>
      </c>
      <c r="P16" s="30"/>
    </row>
    <row r="17" spans="1:16">
      <c r="A17" s="6">
        <v>8</v>
      </c>
      <c r="B17" s="41">
        <v>0</v>
      </c>
      <c r="C17" s="41">
        <v>6.5500000000000003E-2</v>
      </c>
      <c r="D17" s="41">
        <v>5.91E-2</v>
      </c>
      <c r="E17" s="41">
        <v>4.4589999999999998E-2</v>
      </c>
      <c r="F17" s="41">
        <v>0</v>
      </c>
      <c r="G17" s="41">
        <v>0.1</v>
      </c>
      <c r="H17" s="41">
        <v>0.05</v>
      </c>
      <c r="I17" s="42">
        <v>3.3333333333333333E-2</v>
      </c>
      <c r="J17" s="41">
        <v>2.5000000000000001E-2</v>
      </c>
      <c r="K17" s="41">
        <v>0.02</v>
      </c>
      <c r="P17" s="30"/>
    </row>
    <row r="18" spans="1:16">
      <c r="A18" s="6">
        <v>9</v>
      </c>
      <c r="B18" s="41">
        <v>0</v>
      </c>
      <c r="C18" s="41">
        <v>6.5600000000000006E-2</v>
      </c>
      <c r="D18" s="41">
        <v>5.8999999999999997E-2</v>
      </c>
      <c r="E18" s="41">
        <v>4.4589999999999998E-2</v>
      </c>
      <c r="F18" s="41">
        <v>0</v>
      </c>
      <c r="G18" s="41">
        <v>0.1</v>
      </c>
      <c r="H18" s="41">
        <v>0.05</v>
      </c>
      <c r="I18" s="42">
        <v>3.3333333333333333E-2</v>
      </c>
      <c r="J18" s="41">
        <v>2.5000000000000001E-2</v>
      </c>
      <c r="K18" s="41">
        <v>0.02</v>
      </c>
      <c r="P18" s="30"/>
    </row>
    <row r="19" spans="1:16">
      <c r="A19" s="6">
        <v>10</v>
      </c>
      <c r="B19" s="41">
        <v>0</v>
      </c>
      <c r="C19" s="41">
        <v>6.5500000000000003E-2</v>
      </c>
      <c r="D19" s="41">
        <v>5.91E-2</v>
      </c>
      <c r="E19" s="41">
        <v>4.4589999999999998E-2</v>
      </c>
      <c r="F19" s="41">
        <v>0</v>
      </c>
      <c r="G19" s="41">
        <v>0.1</v>
      </c>
      <c r="H19" s="41">
        <v>0.05</v>
      </c>
      <c r="I19" s="42">
        <v>3.3333333333333333E-2</v>
      </c>
      <c r="J19" s="41">
        <v>2.5000000000000001E-2</v>
      </c>
      <c r="K19" s="41">
        <v>0.02</v>
      </c>
      <c r="P19" s="30"/>
    </row>
    <row r="20" spans="1:16">
      <c r="A20" s="6">
        <v>11</v>
      </c>
      <c r="B20" s="41">
        <v>0</v>
      </c>
      <c r="C20" s="41">
        <v>8.2000000000000007E-3</v>
      </c>
      <c r="D20" s="41">
        <v>5.8999999999999997E-2</v>
      </c>
      <c r="E20" s="41">
        <v>4.4589999999999998E-2</v>
      </c>
      <c r="F20" s="41">
        <v>0</v>
      </c>
      <c r="G20" s="41">
        <v>0</v>
      </c>
      <c r="H20" s="41">
        <v>0.05</v>
      </c>
      <c r="I20" s="42">
        <v>3.3333333333333333E-2</v>
      </c>
      <c r="J20" s="41">
        <v>2.5000000000000001E-2</v>
      </c>
      <c r="K20" s="41">
        <v>0.02</v>
      </c>
      <c r="P20" s="30"/>
    </row>
    <row r="21" spans="1:16">
      <c r="A21" s="6">
        <v>12</v>
      </c>
      <c r="B21" s="41">
        <v>0</v>
      </c>
      <c r="C21" s="41">
        <v>0</v>
      </c>
      <c r="D21" s="41">
        <v>5.91E-2</v>
      </c>
      <c r="E21" s="41">
        <v>4.4600000000000001E-2</v>
      </c>
      <c r="F21" s="41">
        <v>0</v>
      </c>
      <c r="G21" s="41">
        <v>0</v>
      </c>
      <c r="H21" s="41">
        <v>0.05</v>
      </c>
      <c r="I21" s="42">
        <v>3.3333333333333333E-2</v>
      </c>
      <c r="J21" s="41">
        <v>2.5000000000000001E-2</v>
      </c>
      <c r="K21" s="41">
        <v>0.02</v>
      </c>
      <c r="P21" s="30"/>
    </row>
    <row r="22" spans="1:16">
      <c r="A22" s="6">
        <v>13</v>
      </c>
      <c r="B22" s="41">
        <v>0</v>
      </c>
      <c r="C22" s="41">
        <v>0</v>
      </c>
      <c r="D22" s="41">
        <v>5.8999999999999997E-2</v>
      </c>
      <c r="E22" s="41">
        <v>4.4589999999999998E-2</v>
      </c>
      <c r="F22" s="41">
        <v>0</v>
      </c>
      <c r="G22" s="41">
        <v>0</v>
      </c>
      <c r="H22" s="41">
        <v>0.05</v>
      </c>
      <c r="I22" s="42">
        <v>3.3333333333333333E-2</v>
      </c>
      <c r="J22" s="41">
        <v>2.5000000000000001E-2</v>
      </c>
      <c r="K22" s="41">
        <v>0.02</v>
      </c>
      <c r="P22" s="30"/>
    </row>
    <row r="23" spans="1:16">
      <c r="A23" s="6">
        <v>14</v>
      </c>
      <c r="B23" s="41">
        <v>0</v>
      </c>
      <c r="C23" s="41">
        <v>0</v>
      </c>
      <c r="D23" s="41">
        <v>5.91E-2</v>
      </c>
      <c r="E23" s="41">
        <v>4.4600000000000001E-2</v>
      </c>
      <c r="F23" s="41">
        <v>0</v>
      </c>
      <c r="G23" s="41">
        <v>0</v>
      </c>
      <c r="H23" s="41">
        <v>0.05</v>
      </c>
      <c r="I23" s="42">
        <v>3.3333333333333333E-2</v>
      </c>
      <c r="J23" s="41">
        <v>2.5000000000000001E-2</v>
      </c>
      <c r="K23" s="41">
        <v>0.02</v>
      </c>
      <c r="P23" s="30"/>
    </row>
    <row r="24" spans="1:16">
      <c r="A24" s="6">
        <v>15</v>
      </c>
      <c r="B24" s="41">
        <v>0</v>
      </c>
      <c r="C24" s="41">
        <v>0</v>
      </c>
      <c r="D24" s="41">
        <v>5.8999999999999997E-2</v>
      </c>
      <c r="E24" s="41">
        <v>4.4589999999999998E-2</v>
      </c>
      <c r="F24" s="41">
        <v>0</v>
      </c>
      <c r="G24" s="41">
        <v>0</v>
      </c>
      <c r="H24" s="41">
        <v>0.05</v>
      </c>
      <c r="I24" s="42">
        <v>3.3333333333333333E-2</v>
      </c>
      <c r="J24" s="41">
        <v>2.5000000000000001E-2</v>
      </c>
      <c r="K24" s="41">
        <v>0.02</v>
      </c>
      <c r="P24" s="30"/>
    </row>
    <row r="25" spans="1:16">
      <c r="A25" s="6">
        <v>16</v>
      </c>
      <c r="B25" s="41">
        <v>0</v>
      </c>
      <c r="C25" s="41">
        <v>0</v>
      </c>
      <c r="D25" s="41">
        <v>7.4000000000000003E-3</v>
      </c>
      <c r="E25" s="41">
        <v>4.4600000000000001E-2</v>
      </c>
      <c r="F25" s="41">
        <v>0</v>
      </c>
      <c r="G25" s="41">
        <v>0</v>
      </c>
      <c r="H25" s="41">
        <v>0.05</v>
      </c>
      <c r="I25" s="42">
        <v>3.3333333333333333E-2</v>
      </c>
      <c r="J25" s="41">
        <v>2.5000000000000001E-2</v>
      </c>
      <c r="K25" s="41">
        <v>0.02</v>
      </c>
      <c r="P25" s="30"/>
    </row>
    <row r="26" spans="1:16">
      <c r="A26" s="6">
        <v>17</v>
      </c>
      <c r="B26" s="41">
        <v>0</v>
      </c>
      <c r="C26" s="41">
        <v>0</v>
      </c>
      <c r="D26" s="41">
        <v>0</v>
      </c>
      <c r="E26" s="41">
        <v>4.4589999999999998E-2</v>
      </c>
      <c r="F26" s="41">
        <v>0</v>
      </c>
      <c r="G26" s="41">
        <v>0</v>
      </c>
      <c r="H26" s="41">
        <v>0.05</v>
      </c>
      <c r="I26" s="42">
        <v>3.3333333333333333E-2</v>
      </c>
      <c r="J26" s="41">
        <v>2.5000000000000001E-2</v>
      </c>
      <c r="K26" s="41">
        <v>0.02</v>
      </c>
      <c r="P26" s="30"/>
    </row>
    <row r="27" spans="1:16">
      <c r="A27" s="6">
        <v>18</v>
      </c>
      <c r="B27" s="41">
        <v>0</v>
      </c>
      <c r="C27" s="41">
        <v>0</v>
      </c>
      <c r="D27" s="41">
        <v>0</v>
      </c>
      <c r="E27" s="41">
        <v>4.4600000000000001E-2</v>
      </c>
      <c r="F27" s="41">
        <v>0</v>
      </c>
      <c r="G27" s="41">
        <v>0</v>
      </c>
      <c r="H27" s="41">
        <v>0.05</v>
      </c>
      <c r="I27" s="42">
        <v>3.3333333333333333E-2</v>
      </c>
      <c r="J27" s="41">
        <v>2.5000000000000001E-2</v>
      </c>
      <c r="K27" s="41">
        <v>0.02</v>
      </c>
      <c r="P27" s="30"/>
    </row>
    <row r="28" spans="1:16">
      <c r="A28" s="6">
        <v>19</v>
      </c>
      <c r="B28" s="41">
        <v>0</v>
      </c>
      <c r="C28" s="41">
        <v>0</v>
      </c>
      <c r="D28" s="41">
        <v>0</v>
      </c>
      <c r="E28" s="41">
        <v>4.4589999999999998E-2</v>
      </c>
      <c r="F28" s="41">
        <v>0</v>
      </c>
      <c r="G28" s="41">
        <v>0</v>
      </c>
      <c r="H28" s="41">
        <v>0.05</v>
      </c>
      <c r="I28" s="42">
        <v>3.3333333333333333E-2</v>
      </c>
      <c r="J28" s="41">
        <v>2.5000000000000001E-2</v>
      </c>
      <c r="K28" s="41">
        <v>0.02</v>
      </c>
      <c r="P28" s="30"/>
    </row>
    <row r="29" spans="1:16">
      <c r="A29" s="6">
        <v>20</v>
      </c>
      <c r="B29" s="41">
        <v>0</v>
      </c>
      <c r="C29" s="41">
        <v>0</v>
      </c>
      <c r="D29" s="41">
        <v>0</v>
      </c>
      <c r="E29" s="41">
        <v>4.4600000000000001E-2</v>
      </c>
      <c r="F29" s="41">
        <v>0</v>
      </c>
      <c r="G29" s="41">
        <v>0</v>
      </c>
      <c r="H29" s="41">
        <v>0.05</v>
      </c>
      <c r="I29" s="42">
        <v>3.3333333333333333E-2</v>
      </c>
      <c r="J29" s="41">
        <v>2.5000000000000001E-2</v>
      </c>
      <c r="K29" s="41">
        <v>0.02</v>
      </c>
      <c r="P29" s="30"/>
    </row>
    <row r="30" spans="1:16">
      <c r="A30" s="6">
        <v>21</v>
      </c>
      <c r="B30" s="41">
        <v>0</v>
      </c>
      <c r="C30" s="41">
        <v>0</v>
      </c>
      <c r="D30" s="41">
        <v>0</v>
      </c>
      <c r="E30" s="41">
        <v>5.6499999999999996E-3</v>
      </c>
      <c r="F30" s="41">
        <v>0</v>
      </c>
      <c r="G30" s="41">
        <v>0</v>
      </c>
      <c r="H30" s="41">
        <v>0</v>
      </c>
      <c r="I30" s="42">
        <v>3.3333333333333333E-2</v>
      </c>
      <c r="J30" s="41">
        <v>2.5000000000000001E-2</v>
      </c>
      <c r="K30" s="41">
        <v>0.02</v>
      </c>
    </row>
    <row r="31" spans="1:16">
      <c r="A31" s="6">
        <v>22</v>
      </c>
      <c r="B31" s="41">
        <v>0</v>
      </c>
      <c r="C31" s="41">
        <v>0</v>
      </c>
      <c r="D31" s="41">
        <v>0</v>
      </c>
      <c r="E31" s="41">
        <v>0</v>
      </c>
      <c r="F31" s="41">
        <v>0</v>
      </c>
      <c r="G31" s="41">
        <v>0</v>
      </c>
      <c r="H31" s="41">
        <v>0</v>
      </c>
      <c r="I31" s="42">
        <v>3.3333333333333333E-2</v>
      </c>
      <c r="J31" s="41">
        <v>2.5000000000000001E-2</v>
      </c>
      <c r="K31" s="41">
        <v>0.02</v>
      </c>
    </row>
    <row r="32" spans="1:16">
      <c r="A32" s="6">
        <v>23</v>
      </c>
      <c r="B32" s="41">
        <v>0</v>
      </c>
      <c r="C32" s="41">
        <v>0</v>
      </c>
      <c r="D32" s="41">
        <v>0</v>
      </c>
      <c r="E32" s="41">
        <v>0</v>
      </c>
      <c r="F32" s="41">
        <v>0</v>
      </c>
      <c r="G32" s="41">
        <v>0</v>
      </c>
      <c r="H32" s="41">
        <v>0</v>
      </c>
      <c r="I32" s="42">
        <v>3.3333333333333333E-2</v>
      </c>
      <c r="J32" s="41">
        <v>2.5000000000000001E-2</v>
      </c>
      <c r="K32" s="41">
        <v>0.02</v>
      </c>
    </row>
    <row r="33" spans="1:11">
      <c r="A33" s="6">
        <v>24</v>
      </c>
      <c r="B33" s="41">
        <v>0</v>
      </c>
      <c r="C33" s="41">
        <v>0</v>
      </c>
      <c r="D33" s="41">
        <v>0</v>
      </c>
      <c r="E33" s="41">
        <v>0</v>
      </c>
      <c r="F33" s="41">
        <v>0</v>
      </c>
      <c r="G33" s="41">
        <v>0</v>
      </c>
      <c r="H33" s="41">
        <v>0</v>
      </c>
      <c r="I33" s="42">
        <v>3.3333333333333333E-2</v>
      </c>
      <c r="J33" s="41">
        <v>2.5000000000000001E-2</v>
      </c>
      <c r="K33" s="41">
        <v>0.02</v>
      </c>
    </row>
    <row r="34" spans="1:11">
      <c r="A34" s="6">
        <v>25</v>
      </c>
      <c r="B34" s="41">
        <v>0</v>
      </c>
      <c r="C34" s="41">
        <v>0</v>
      </c>
      <c r="D34" s="41">
        <v>0</v>
      </c>
      <c r="E34" s="41">
        <v>0</v>
      </c>
      <c r="F34" s="41">
        <v>0</v>
      </c>
      <c r="G34" s="41">
        <v>0</v>
      </c>
      <c r="H34" s="41">
        <v>0</v>
      </c>
      <c r="I34" s="42">
        <v>3.3333333333333333E-2</v>
      </c>
      <c r="J34" s="41">
        <v>2.5000000000000001E-2</v>
      </c>
      <c r="K34" s="41">
        <v>0.02</v>
      </c>
    </row>
    <row r="35" spans="1:11">
      <c r="A35" s="6">
        <v>26</v>
      </c>
      <c r="B35" s="41">
        <v>0</v>
      </c>
      <c r="C35" s="41">
        <v>0</v>
      </c>
      <c r="D35" s="41">
        <v>0</v>
      </c>
      <c r="E35" s="41">
        <v>0</v>
      </c>
      <c r="F35" s="41">
        <v>0</v>
      </c>
      <c r="G35" s="41">
        <v>0</v>
      </c>
      <c r="H35" s="41">
        <v>0</v>
      </c>
      <c r="I35" s="42">
        <v>3.3333333333333333E-2</v>
      </c>
      <c r="J35" s="41">
        <v>2.5000000000000001E-2</v>
      </c>
      <c r="K35" s="41">
        <v>0.02</v>
      </c>
    </row>
    <row r="36" spans="1:11">
      <c r="A36" s="6">
        <v>27</v>
      </c>
      <c r="B36" s="41">
        <v>0</v>
      </c>
      <c r="C36" s="41">
        <v>0</v>
      </c>
      <c r="D36" s="41">
        <v>0</v>
      </c>
      <c r="E36" s="41">
        <v>0</v>
      </c>
      <c r="F36" s="41">
        <v>0</v>
      </c>
      <c r="G36" s="41">
        <v>0</v>
      </c>
      <c r="H36" s="41">
        <v>0</v>
      </c>
      <c r="I36" s="42">
        <v>3.3333333333333333E-2</v>
      </c>
      <c r="J36" s="41">
        <v>2.5000000000000001E-2</v>
      </c>
      <c r="K36" s="41">
        <v>0.02</v>
      </c>
    </row>
    <row r="37" spans="1:11">
      <c r="A37" s="6">
        <v>28</v>
      </c>
      <c r="B37" s="41">
        <v>0</v>
      </c>
      <c r="C37" s="41">
        <v>0</v>
      </c>
      <c r="D37" s="41">
        <v>0</v>
      </c>
      <c r="E37" s="41">
        <v>0</v>
      </c>
      <c r="F37" s="41">
        <v>0</v>
      </c>
      <c r="G37" s="41">
        <v>0</v>
      </c>
      <c r="H37" s="41">
        <v>0</v>
      </c>
      <c r="I37" s="42">
        <v>3.3333333333333333E-2</v>
      </c>
      <c r="J37" s="41">
        <v>2.5000000000000001E-2</v>
      </c>
      <c r="K37" s="41">
        <v>0.02</v>
      </c>
    </row>
    <row r="38" spans="1:11">
      <c r="A38" s="6">
        <v>29</v>
      </c>
      <c r="B38" s="41">
        <v>0</v>
      </c>
      <c r="C38" s="41">
        <v>0</v>
      </c>
      <c r="D38" s="41">
        <v>0</v>
      </c>
      <c r="E38" s="41">
        <v>0</v>
      </c>
      <c r="F38" s="41">
        <v>0</v>
      </c>
      <c r="G38" s="41">
        <v>0</v>
      </c>
      <c r="H38" s="41">
        <v>0</v>
      </c>
      <c r="I38" s="42">
        <v>3.3333333333333333E-2</v>
      </c>
      <c r="J38" s="41">
        <v>2.5000000000000001E-2</v>
      </c>
      <c r="K38" s="41">
        <v>0.02</v>
      </c>
    </row>
    <row r="39" spans="1:11">
      <c r="A39" s="6">
        <v>30</v>
      </c>
      <c r="B39" s="41">
        <v>0</v>
      </c>
      <c r="C39" s="41">
        <v>0</v>
      </c>
      <c r="D39" s="41">
        <v>0</v>
      </c>
      <c r="E39" s="41">
        <v>0</v>
      </c>
      <c r="F39" s="41">
        <v>0</v>
      </c>
      <c r="G39" s="41">
        <v>0</v>
      </c>
      <c r="H39" s="41">
        <v>0</v>
      </c>
      <c r="I39" s="42">
        <v>3.3333333333333333E-2</v>
      </c>
      <c r="J39" s="41">
        <v>2.5000000000000001E-2</v>
      </c>
      <c r="K39" s="41">
        <v>0.02</v>
      </c>
    </row>
    <row r="40" spans="1:11">
      <c r="A40" s="6">
        <v>31</v>
      </c>
      <c r="B40" s="41">
        <v>0</v>
      </c>
      <c r="C40" s="41">
        <v>0</v>
      </c>
      <c r="D40" s="41">
        <v>0</v>
      </c>
      <c r="E40" s="41">
        <v>0</v>
      </c>
      <c r="F40" s="41">
        <v>0</v>
      </c>
      <c r="G40" s="41">
        <v>0</v>
      </c>
      <c r="H40" s="41">
        <v>0</v>
      </c>
      <c r="I40" s="42">
        <v>0</v>
      </c>
      <c r="J40" s="41">
        <v>2.5000000000000001E-2</v>
      </c>
      <c r="K40" s="41">
        <v>0.02</v>
      </c>
    </row>
    <row r="41" spans="1:11">
      <c r="A41" s="6">
        <v>32</v>
      </c>
      <c r="B41" s="41">
        <v>0</v>
      </c>
      <c r="C41" s="41">
        <v>0</v>
      </c>
      <c r="D41" s="41">
        <v>0</v>
      </c>
      <c r="E41" s="41">
        <v>0</v>
      </c>
      <c r="F41" s="41">
        <v>0</v>
      </c>
      <c r="G41" s="41">
        <v>0</v>
      </c>
      <c r="H41" s="41">
        <v>0</v>
      </c>
      <c r="I41" s="42">
        <v>0</v>
      </c>
      <c r="J41" s="41">
        <v>2.5000000000000001E-2</v>
      </c>
      <c r="K41" s="41">
        <v>0.02</v>
      </c>
    </row>
    <row r="42" spans="1:11">
      <c r="A42" s="6">
        <v>33</v>
      </c>
      <c r="B42" s="41">
        <v>0</v>
      </c>
      <c r="C42" s="41">
        <v>0</v>
      </c>
      <c r="D42" s="41">
        <v>0</v>
      </c>
      <c r="E42" s="41">
        <v>0</v>
      </c>
      <c r="F42" s="41">
        <v>0</v>
      </c>
      <c r="G42" s="41">
        <v>0</v>
      </c>
      <c r="H42" s="41">
        <v>0</v>
      </c>
      <c r="I42" s="42">
        <v>0</v>
      </c>
      <c r="J42" s="41">
        <v>2.5000000000000001E-2</v>
      </c>
      <c r="K42" s="41">
        <v>0.02</v>
      </c>
    </row>
    <row r="43" spans="1:11">
      <c r="A43" s="6">
        <v>34</v>
      </c>
      <c r="B43" s="41">
        <v>0</v>
      </c>
      <c r="C43" s="41">
        <v>0</v>
      </c>
      <c r="D43" s="41">
        <v>0</v>
      </c>
      <c r="E43" s="41">
        <v>0</v>
      </c>
      <c r="F43" s="41">
        <v>0</v>
      </c>
      <c r="G43" s="41">
        <v>0</v>
      </c>
      <c r="H43" s="41">
        <v>0</v>
      </c>
      <c r="I43" s="42">
        <v>0</v>
      </c>
      <c r="J43" s="41">
        <v>2.5000000000000001E-2</v>
      </c>
      <c r="K43" s="41">
        <v>0.02</v>
      </c>
    </row>
    <row r="44" spans="1:11">
      <c r="A44" s="6">
        <v>35</v>
      </c>
      <c r="B44" s="41">
        <v>0</v>
      </c>
      <c r="C44" s="41">
        <v>0</v>
      </c>
      <c r="D44" s="41">
        <v>0</v>
      </c>
      <c r="E44" s="41">
        <v>0</v>
      </c>
      <c r="F44" s="41">
        <v>0</v>
      </c>
      <c r="G44" s="41">
        <v>0</v>
      </c>
      <c r="H44" s="41">
        <v>0</v>
      </c>
      <c r="I44" s="42">
        <v>0</v>
      </c>
      <c r="J44" s="41">
        <v>2.5000000000000001E-2</v>
      </c>
      <c r="K44" s="41">
        <v>0.02</v>
      </c>
    </row>
    <row r="45" spans="1:11">
      <c r="A45" s="6">
        <v>36</v>
      </c>
      <c r="B45" s="41">
        <v>0</v>
      </c>
      <c r="C45" s="41">
        <v>0</v>
      </c>
      <c r="D45" s="41">
        <v>0</v>
      </c>
      <c r="E45" s="41">
        <v>0</v>
      </c>
      <c r="F45" s="41">
        <v>0</v>
      </c>
      <c r="G45" s="41">
        <v>0</v>
      </c>
      <c r="H45" s="41">
        <v>0</v>
      </c>
      <c r="I45" s="42">
        <v>0</v>
      </c>
      <c r="J45" s="41">
        <v>2.5000000000000001E-2</v>
      </c>
      <c r="K45" s="41">
        <v>0.02</v>
      </c>
    </row>
    <row r="46" spans="1:11">
      <c r="A46" s="6">
        <v>37</v>
      </c>
      <c r="B46" s="41">
        <v>0</v>
      </c>
      <c r="C46" s="41">
        <v>0</v>
      </c>
      <c r="D46" s="41">
        <v>0</v>
      </c>
      <c r="E46" s="41">
        <v>0</v>
      </c>
      <c r="F46" s="41">
        <v>0</v>
      </c>
      <c r="G46" s="41">
        <v>0</v>
      </c>
      <c r="H46" s="41">
        <v>0</v>
      </c>
      <c r="I46" s="42">
        <v>0</v>
      </c>
      <c r="J46" s="41">
        <v>2.5000000000000001E-2</v>
      </c>
      <c r="K46" s="41">
        <v>0.02</v>
      </c>
    </row>
    <row r="47" spans="1:11">
      <c r="A47" s="6">
        <v>38</v>
      </c>
      <c r="B47" s="41">
        <v>0</v>
      </c>
      <c r="C47" s="41">
        <v>0</v>
      </c>
      <c r="D47" s="41">
        <v>0</v>
      </c>
      <c r="E47" s="41">
        <v>0</v>
      </c>
      <c r="F47" s="41">
        <v>0</v>
      </c>
      <c r="G47" s="41">
        <v>0</v>
      </c>
      <c r="H47" s="41">
        <v>0</v>
      </c>
      <c r="I47" s="42">
        <v>0</v>
      </c>
      <c r="J47" s="41">
        <v>2.5000000000000001E-2</v>
      </c>
      <c r="K47" s="41">
        <v>0.02</v>
      </c>
    </row>
    <row r="48" spans="1:11">
      <c r="A48" s="6">
        <v>39</v>
      </c>
      <c r="B48" s="41">
        <v>0</v>
      </c>
      <c r="C48" s="41">
        <v>0</v>
      </c>
      <c r="D48" s="41">
        <v>0</v>
      </c>
      <c r="E48" s="41">
        <v>0</v>
      </c>
      <c r="F48" s="41">
        <v>0</v>
      </c>
      <c r="G48" s="41">
        <v>0</v>
      </c>
      <c r="H48" s="41">
        <v>0</v>
      </c>
      <c r="I48" s="42">
        <v>0</v>
      </c>
      <c r="J48" s="41">
        <v>2.5000000000000001E-2</v>
      </c>
      <c r="K48" s="41">
        <v>0.02</v>
      </c>
    </row>
    <row r="49" spans="1:11">
      <c r="A49" s="6">
        <v>40</v>
      </c>
      <c r="B49" s="41">
        <v>0</v>
      </c>
      <c r="C49" s="41">
        <v>0</v>
      </c>
      <c r="D49" s="41">
        <v>0</v>
      </c>
      <c r="E49" s="41">
        <v>0</v>
      </c>
      <c r="F49" s="41">
        <v>0</v>
      </c>
      <c r="G49" s="41">
        <v>0</v>
      </c>
      <c r="H49" s="41">
        <v>0</v>
      </c>
      <c r="I49" s="42">
        <v>0</v>
      </c>
      <c r="J49" s="41">
        <v>2.5000000000000001E-2</v>
      </c>
      <c r="K49" s="41">
        <v>0.02</v>
      </c>
    </row>
    <row r="50" spans="1:11">
      <c r="A50" s="6">
        <v>41</v>
      </c>
      <c r="B50" s="41">
        <v>0</v>
      </c>
      <c r="C50" s="41">
        <v>0</v>
      </c>
      <c r="D50" s="41">
        <v>0</v>
      </c>
      <c r="E50" s="41">
        <v>0</v>
      </c>
      <c r="F50" s="41">
        <v>0</v>
      </c>
      <c r="G50" s="41">
        <v>0</v>
      </c>
      <c r="H50" s="41">
        <v>0</v>
      </c>
      <c r="I50" s="42">
        <v>0</v>
      </c>
      <c r="J50" s="42">
        <v>0</v>
      </c>
      <c r="K50" s="41">
        <v>0.02</v>
      </c>
    </row>
    <row r="51" spans="1:11">
      <c r="A51" s="6">
        <v>42</v>
      </c>
      <c r="B51" s="41">
        <v>0</v>
      </c>
      <c r="C51" s="41">
        <v>0</v>
      </c>
      <c r="D51" s="41">
        <v>0</v>
      </c>
      <c r="E51" s="41">
        <v>0</v>
      </c>
      <c r="F51" s="41">
        <v>0</v>
      </c>
      <c r="G51" s="41">
        <v>0</v>
      </c>
      <c r="H51" s="41">
        <v>0</v>
      </c>
      <c r="I51" s="42">
        <v>0</v>
      </c>
      <c r="J51" s="42">
        <v>0</v>
      </c>
      <c r="K51" s="41">
        <v>0.02</v>
      </c>
    </row>
    <row r="52" spans="1:11">
      <c r="A52" s="6">
        <v>43</v>
      </c>
      <c r="B52" s="41">
        <v>0</v>
      </c>
      <c r="C52" s="41">
        <v>0</v>
      </c>
      <c r="D52" s="41">
        <v>0</v>
      </c>
      <c r="E52" s="41">
        <v>0</v>
      </c>
      <c r="F52" s="41">
        <v>0</v>
      </c>
      <c r="G52" s="41">
        <v>0</v>
      </c>
      <c r="H52" s="41">
        <v>0</v>
      </c>
      <c r="I52" s="42">
        <v>0</v>
      </c>
      <c r="J52" s="42">
        <v>0</v>
      </c>
      <c r="K52" s="41">
        <v>0.02</v>
      </c>
    </row>
    <row r="53" spans="1:11">
      <c r="A53" s="6">
        <v>44</v>
      </c>
      <c r="B53" s="41">
        <v>0</v>
      </c>
      <c r="C53" s="41">
        <v>0</v>
      </c>
      <c r="D53" s="41">
        <v>0</v>
      </c>
      <c r="E53" s="41">
        <v>0</v>
      </c>
      <c r="F53" s="41">
        <v>0</v>
      </c>
      <c r="G53" s="41">
        <v>0</v>
      </c>
      <c r="H53" s="41">
        <v>0</v>
      </c>
      <c r="I53" s="42">
        <v>0</v>
      </c>
      <c r="J53" s="42">
        <v>0</v>
      </c>
      <c r="K53" s="41">
        <v>0.02</v>
      </c>
    </row>
    <row r="54" spans="1:11">
      <c r="A54" s="6">
        <v>45</v>
      </c>
      <c r="B54" s="41">
        <v>0</v>
      </c>
      <c r="C54" s="41">
        <v>0</v>
      </c>
      <c r="D54" s="41">
        <v>0</v>
      </c>
      <c r="E54" s="41">
        <v>0</v>
      </c>
      <c r="F54" s="41">
        <v>0</v>
      </c>
      <c r="G54" s="41">
        <v>0</v>
      </c>
      <c r="H54" s="41">
        <v>0</v>
      </c>
      <c r="I54" s="42">
        <v>0</v>
      </c>
      <c r="J54" s="42">
        <v>0</v>
      </c>
      <c r="K54" s="41">
        <v>0.02</v>
      </c>
    </row>
    <row r="55" spans="1:11">
      <c r="A55" s="6">
        <v>46</v>
      </c>
      <c r="B55" s="41">
        <v>0</v>
      </c>
      <c r="C55" s="41">
        <v>0</v>
      </c>
      <c r="D55" s="41">
        <v>0</v>
      </c>
      <c r="E55" s="41">
        <v>0</v>
      </c>
      <c r="F55" s="41">
        <v>0</v>
      </c>
      <c r="G55" s="41">
        <v>0</v>
      </c>
      <c r="H55" s="41">
        <v>0</v>
      </c>
      <c r="I55" s="42">
        <v>0</v>
      </c>
      <c r="J55" s="42">
        <v>0</v>
      </c>
      <c r="K55" s="41">
        <v>0.02</v>
      </c>
    </row>
    <row r="56" spans="1:11">
      <c r="A56" s="6">
        <v>47</v>
      </c>
      <c r="B56" s="41">
        <v>0</v>
      </c>
      <c r="C56" s="41">
        <v>0</v>
      </c>
      <c r="D56" s="41">
        <v>0</v>
      </c>
      <c r="E56" s="41">
        <v>0</v>
      </c>
      <c r="F56" s="41">
        <v>0</v>
      </c>
      <c r="G56" s="41">
        <v>0</v>
      </c>
      <c r="H56" s="41">
        <v>0</v>
      </c>
      <c r="I56" s="42">
        <v>0</v>
      </c>
      <c r="J56" s="42">
        <v>0</v>
      </c>
      <c r="K56" s="41">
        <v>0.02</v>
      </c>
    </row>
    <row r="57" spans="1:11">
      <c r="A57" s="6">
        <v>48</v>
      </c>
      <c r="B57" s="41">
        <v>0</v>
      </c>
      <c r="C57" s="41">
        <v>0</v>
      </c>
      <c r="D57" s="41">
        <v>0</v>
      </c>
      <c r="E57" s="41">
        <v>0</v>
      </c>
      <c r="F57" s="41">
        <v>0</v>
      </c>
      <c r="G57" s="41">
        <v>0</v>
      </c>
      <c r="H57" s="41">
        <v>0</v>
      </c>
      <c r="I57" s="42">
        <v>0</v>
      </c>
      <c r="J57" s="42">
        <v>0</v>
      </c>
      <c r="K57" s="41">
        <v>0.02</v>
      </c>
    </row>
    <row r="58" spans="1:11">
      <c r="A58" s="6">
        <v>49</v>
      </c>
      <c r="B58" s="41">
        <v>0</v>
      </c>
      <c r="C58" s="41">
        <v>0</v>
      </c>
      <c r="D58" s="41">
        <v>0</v>
      </c>
      <c r="E58" s="41">
        <v>0</v>
      </c>
      <c r="F58" s="41">
        <v>0</v>
      </c>
      <c r="G58" s="41">
        <v>0</v>
      </c>
      <c r="H58" s="41">
        <v>0</v>
      </c>
      <c r="I58" s="42">
        <v>0</v>
      </c>
      <c r="J58" s="42">
        <v>0</v>
      </c>
      <c r="K58" s="41">
        <v>0.02</v>
      </c>
    </row>
    <row r="59" spans="1:11">
      <c r="A59" s="6">
        <v>50</v>
      </c>
      <c r="B59" s="41">
        <v>0</v>
      </c>
      <c r="C59" s="41">
        <v>0</v>
      </c>
      <c r="D59" s="41">
        <v>0</v>
      </c>
      <c r="E59" s="41">
        <v>0</v>
      </c>
      <c r="F59" s="41">
        <v>0</v>
      </c>
      <c r="G59" s="41">
        <v>0</v>
      </c>
      <c r="H59" s="41">
        <v>0</v>
      </c>
      <c r="I59" s="42">
        <v>0</v>
      </c>
      <c r="J59" s="42">
        <v>0</v>
      </c>
      <c r="K59" s="41">
        <v>0.02</v>
      </c>
    </row>
    <row r="60" spans="1:11">
      <c r="B60" s="39"/>
      <c r="C60" s="39"/>
      <c r="D60" s="39"/>
      <c r="E60" s="39"/>
      <c r="F60" s="39"/>
      <c r="G60" s="39"/>
      <c r="H60" s="39"/>
      <c r="I60" s="39"/>
      <c r="J60" s="39"/>
      <c r="K60" s="39"/>
    </row>
    <row r="61" spans="1:11" s="23" customFormat="1">
      <c r="A61" s="23" t="s">
        <v>43</v>
      </c>
      <c r="B61" s="40">
        <f t="shared" ref="B61:J61" si="0">SUM(B10:B59)</f>
        <v>1</v>
      </c>
      <c r="C61" s="40">
        <f t="shared" si="0"/>
        <v>1</v>
      </c>
      <c r="D61" s="40">
        <f t="shared" si="0"/>
        <v>1.0000000000000004</v>
      </c>
      <c r="E61" s="40">
        <f>SUM(E10:E59)</f>
        <v>1</v>
      </c>
      <c r="F61" s="40">
        <f t="shared" si="0"/>
        <v>1</v>
      </c>
      <c r="G61" s="40">
        <f t="shared" si="0"/>
        <v>0.99999999999999989</v>
      </c>
      <c r="H61" s="40">
        <f t="shared" si="0"/>
        <v>1.0000000000000002</v>
      </c>
      <c r="I61" s="40">
        <f t="shared" si="0"/>
        <v>0.99999999999999989</v>
      </c>
      <c r="J61" s="40">
        <f t="shared" si="0"/>
        <v>1.0000000000000004</v>
      </c>
      <c r="K61" s="40"/>
    </row>
  </sheetData>
  <phoneticPr fontId="42" type="noConversion"/>
  <conditionalFormatting sqref="B10:J59">
    <cfRule type="cellIs" dxfId="9" priority="2" stopIfTrue="1" operator="equal">
      <formula>0</formula>
    </cfRule>
  </conditionalFormatting>
  <conditionalFormatting sqref="K10:K59">
    <cfRule type="cellIs" dxfId="8" priority="1" stopIfTrue="1" operator="equal">
      <formula>0</formula>
    </cfRule>
  </conditionalFormatting>
  <hyperlinks>
    <hyperlink ref="B6" display="http://www.irs.gov/publications/p946/ar02.html"/>
  </hyperlink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sheetPr>
    <tabColor theme="5"/>
  </sheetPr>
  <dimension ref="A1:G30"/>
  <sheetViews>
    <sheetView topLeftCell="A2" workbookViewId="0">
      <selection activeCell="Q54" sqref="Q54"/>
    </sheetView>
  </sheetViews>
  <sheetFormatPr defaultRowHeight="12.75" outlineLevelRow="1"/>
  <cols>
    <col min="1" max="1" width="9.85546875" bestFit="1" customWidth="1"/>
    <col min="2" max="2" width="22" bestFit="1" customWidth="1"/>
    <col min="3" max="3" width="11" bestFit="1" customWidth="1"/>
    <col min="4" max="7" width="15.7109375" customWidth="1"/>
  </cols>
  <sheetData>
    <row r="1" spans="1:7" s="268" customFormat="1" hidden="1" outlineLevel="1">
      <c r="D1" s="550" t="s">
        <v>66</v>
      </c>
      <c r="E1" s="550" t="s">
        <v>67</v>
      </c>
      <c r="F1" s="550" t="s">
        <v>101</v>
      </c>
      <c r="G1" s="550" t="s">
        <v>406</v>
      </c>
    </row>
    <row r="2" spans="1:7" collapsed="1">
      <c r="A2" s="126" t="s">
        <v>91</v>
      </c>
      <c r="B2" s="126" t="str">
        <f>'ORTP Summary'!C1</f>
        <v>ISO-NE ORTP 2013 Study</v>
      </c>
    </row>
    <row r="3" spans="1:7">
      <c r="A3" s="126" t="s">
        <v>92</v>
      </c>
      <c r="B3" s="140" t="s">
        <v>113</v>
      </c>
    </row>
    <row r="4" spans="1:7">
      <c r="A4" s="126" t="s">
        <v>114</v>
      </c>
      <c r="B4" s="95" t="s">
        <v>296</v>
      </c>
    </row>
    <row r="5" spans="1:7" ht="13.5" thickBot="1">
      <c r="A5" s="126"/>
      <c r="B5" s="95"/>
    </row>
    <row r="6" spans="1:7" ht="13.5" thickBot="1">
      <c r="A6" s="126"/>
      <c r="B6" s="95" t="s">
        <v>220</v>
      </c>
      <c r="C6" s="1223" t="str">
        <f>'CONE Calcs'!D7</f>
        <v>FCA9</v>
      </c>
    </row>
    <row r="7" spans="1:7">
      <c r="A7" s="126"/>
      <c r="B7" s="95"/>
    </row>
    <row r="8" spans="1:7" ht="6" customHeight="1" thickBot="1">
      <c r="A8" s="126"/>
      <c r="B8" s="180"/>
      <c r="C8" s="157"/>
      <c r="D8" s="157"/>
      <c r="E8" s="157"/>
    </row>
    <row r="9" spans="1:7" ht="6" customHeight="1" thickTop="1">
      <c r="A9" s="126"/>
      <c r="B9" s="95"/>
    </row>
    <row r="10" spans="1:7">
      <c r="A10" s="126"/>
      <c r="B10" s="179" t="s">
        <v>87</v>
      </c>
      <c r="C10" s="150" t="s">
        <v>162</v>
      </c>
      <c r="D10" s="150" t="s">
        <v>334</v>
      </c>
      <c r="E10" s="150" t="s">
        <v>42</v>
      </c>
    </row>
    <row r="11" spans="1:7" ht="6" customHeight="1">
      <c r="A11" s="126"/>
      <c r="B11" s="604"/>
      <c r="C11" s="160"/>
      <c r="D11" s="160"/>
      <c r="E11" s="160"/>
    </row>
    <row r="12" spans="1:7" ht="6" customHeight="1">
      <c r="A12" s="126"/>
      <c r="B12" s="95"/>
      <c r="C12" s="600"/>
      <c r="D12" s="600"/>
      <c r="E12" s="600"/>
    </row>
    <row r="13" spans="1:7">
      <c r="A13" s="126"/>
      <c r="B13" s="126" t="s">
        <v>951</v>
      </c>
      <c r="C13" s="102" t="s">
        <v>408</v>
      </c>
      <c r="D13" s="601">
        <v>46.63</v>
      </c>
      <c r="E13" s="1259">
        <v>2016</v>
      </c>
    </row>
    <row r="14" spans="1:7">
      <c r="A14" s="126"/>
      <c r="B14" s="126" t="s">
        <v>314</v>
      </c>
      <c r="C14" s="102" t="s">
        <v>409</v>
      </c>
      <c r="D14" s="601">
        <v>23</v>
      </c>
      <c r="E14" s="1259">
        <v>2013</v>
      </c>
    </row>
    <row r="15" spans="1:7" ht="6" customHeight="1" thickBot="1">
      <c r="A15" s="126"/>
      <c r="B15" s="181"/>
      <c r="C15" s="602"/>
      <c r="D15" s="603"/>
      <c r="E15" s="603"/>
    </row>
    <row r="16" spans="1:7" ht="6" customHeight="1" thickTop="1">
      <c r="A16" s="126"/>
      <c r="B16" s="126"/>
      <c r="C16" s="102"/>
      <c r="D16" s="601"/>
      <c r="E16" s="601"/>
    </row>
    <row r="18" spans="2:7" ht="6" customHeight="1" thickBot="1">
      <c r="B18" s="157"/>
      <c r="C18" s="157"/>
      <c r="D18" s="157"/>
      <c r="E18" s="157"/>
      <c r="F18" s="157"/>
      <c r="G18" s="157"/>
    </row>
    <row r="19" spans="2:7" ht="6" customHeight="1" thickTop="1">
      <c r="B19" s="546"/>
      <c r="C19" s="546"/>
      <c r="D19" s="547"/>
      <c r="E19" s="547"/>
      <c r="F19" s="547"/>
      <c r="G19" s="547"/>
    </row>
    <row r="20" spans="2:7" ht="25.5">
      <c r="B20" s="553" t="s">
        <v>334</v>
      </c>
      <c r="C20" s="553" t="s">
        <v>162</v>
      </c>
      <c r="D20" s="551" t="str">
        <f>'Unit Specifications'!C$8</f>
        <v>Combustion Turbine</v>
      </c>
      <c r="E20" s="551" t="str">
        <f>'Unit Specifications'!D$8</f>
        <v>Combined Cycle Gas Turbine</v>
      </c>
      <c r="F20" s="551" t="str">
        <f>'Unit Specifications'!E$8</f>
        <v>On-Shore Wind</v>
      </c>
      <c r="G20" s="551" t="str">
        <f>'Unit Specifications'!F$8</f>
        <v>Solar PV</v>
      </c>
    </row>
    <row r="21" spans="2:7" ht="6" customHeight="1">
      <c r="B21" s="549"/>
      <c r="C21" s="549"/>
      <c r="D21" s="549"/>
      <c r="E21" s="549"/>
      <c r="F21" s="549"/>
      <c r="G21" s="549"/>
    </row>
    <row r="22" spans="2:7" ht="6" customHeight="1">
      <c r="B22" s="437"/>
      <c r="C22" s="437"/>
      <c r="D22" s="437"/>
      <c r="E22" s="437"/>
      <c r="F22" s="437"/>
      <c r="G22" s="437"/>
    </row>
    <row r="23" spans="2:7">
      <c r="B23" s="437" t="s">
        <v>297</v>
      </c>
      <c r="C23" s="437" t="s">
        <v>333</v>
      </c>
      <c r="D23" s="1101">
        <f>INDEX('Annual Results'!$D$28:$G$30,MATCH('CONE Calcs'!$D$7,'Annual Results'!$A$28:$A$30,0),MATCH('Revenue Offsets'!D$1,'Annual Results'!$D$1:$G$1,0))</f>
        <v>2.7067709155166564</v>
      </c>
      <c r="E23" s="1101">
        <f>INDEX('Annual Results'!$D$28:$G$30,MATCH('CONE Calcs'!$D$7,'Annual Results'!$A$28:$A$30,0),MATCH('Revenue Offsets'!E$1,'Annual Results'!$D$1:$G$1,0))</f>
        <v>3.7457091897290216</v>
      </c>
      <c r="F23" s="1266">
        <f>INDEX('Annual Results'!$D$28:$G$30,MATCH('CONE Calcs'!$D$7,'Annual Results'!$A$28:$A$30,0),MATCH('Revenue Offsets'!F$1,'Annual Results'!$D$1:$G$1,0))*'Unit Specifications'!$E$20/'Margin Forecast'!$R$2</f>
        <v>14.935849393498408</v>
      </c>
      <c r="G23" s="1101">
        <f>INDEX('Annual Results'!$D$28:$G$30,MATCH('CONE Calcs'!$D$7,'Annual Results'!$A$28:$A$30,0),MATCH('Revenue Offsets'!G$1,'Annual Results'!$D$1:$G$1,0))</f>
        <v>6.2307243261639256</v>
      </c>
    </row>
    <row r="24" spans="2:7">
      <c r="B24" s="437" t="s">
        <v>298</v>
      </c>
      <c r="C24" s="437" t="s">
        <v>329</v>
      </c>
      <c r="D24" s="552">
        <v>0</v>
      </c>
      <c r="E24" s="552">
        <v>0</v>
      </c>
      <c r="F24" s="1263">
        <f>$D$13*(1+Inflation)^(INDEX('Annual Updates Calcs'!$E$9:$E$11,MATCH('Revenue Offsets'!$C$6,'Annual Updates Calcs'!$C$9:$C$11,0))-$E$13+0.5)</f>
        <v>49.29736508937151</v>
      </c>
      <c r="G24" s="1263">
        <f>$D$13*(1+Inflation)^(INDEX('Annual Updates Calcs'!$E$9:$E$11,MATCH('Revenue Offsets'!$C$6,'Annual Updates Calcs'!$C$9:$C$11,0))-$E$13+0.5)</f>
        <v>49.29736508937151</v>
      </c>
    </row>
    <row r="25" spans="2:7">
      <c r="B25" s="437" t="s">
        <v>314</v>
      </c>
      <c r="C25" s="437" t="s">
        <v>329</v>
      </c>
      <c r="D25" s="552">
        <v>0</v>
      </c>
      <c r="E25" s="552">
        <v>0</v>
      </c>
      <c r="F25" s="1264">
        <f>$D$14*(1+Inflation)^(INDEX('Annual Updates Calcs'!$E$9:$E$11,MATCH('Revenue Offsets'!$C$6,'Annual Updates Calcs'!$C$9:$C$11,0))-$E$14)</f>
        <v>25.706586949621773</v>
      </c>
      <c r="G25" s="1257">
        <v>0</v>
      </c>
    </row>
    <row r="26" spans="2:7">
      <c r="B26" s="437" t="s">
        <v>330</v>
      </c>
      <c r="C26" s="437" t="s">
        <v>333</v>
      </c>
      <c r="D26" s="552">
        <v>0</v>
      </c>
      <c r="E26" s="552">
        <v>0</v>
      </c>
      <c r="F26" s="552">
        <v>0</v>
      </c>
      <c r="G26" s="552">
        <v>0</v>
      </c>
    </row>
    <row r="27" spans="2:7" ht="6" customHeight="1" thickBot="1">
      <c r="B27" s="548"/>
      <c r="C27" s="548"/>
      <c r="D27" s="157"/>
      <c r="E27" s="157"/>
      <c r="F27" s="157"/>
      <c r="G27" s="157"/>
    </row>
    <row r="28" spans="2:7" ht="6" customHeight="1" thickTop="1"/>
    <row r="29" spans="2:7">
      <c r="B29" s="134" t="str">
        <f>"Note: All dollar numbers are in "&amp;INDEX('Annual Updates Calcs'!$E$9:$E$11,MATCH('Revenue Offsets'!C6,'Annual Updates Calcs'!$C$9:$C$11,0))&amp;"$."</f>
        <v>Note: All dollar numbers are in 2018$.</v>
      </c>
      <c r="D29" s="1193"/>
      <c r="E29" s="1193"/>
      <c r="F29" s="1193"/>
      <c r="G29" s="1193"/>
    </row>
    <row r="30" spans="2:7">
      <c r="D30" s="1193"/>
      <c r="E30" s="1193"/>
      <c r="F30" s="1258"/>
      <c r="G30" s="1193"/>
    </row>
  </sheetData>
  <pageMargins left="0.7" right="0.7" top="0.75" bottom="0.75" header="0.3" footer="0.3"/>
  <pageSetup orientation="portrait" blackAndWhite="1" r:id="rId1"/>
  <legacyDrawing r:id="rId2"/>
</worksheet>
</file>

<file path=xl/worksheets/sheet16.xml><?xml version="1.0" encoding="utf-8"?>
<worksheet xmlns="http://schemas.openxmlformats.org/spreadsheetml/2006/main" xmlns:r="http://schemas.openxmlformats.org/officeDocument/2006/relationships">
  <sheetPr>
    <tabColor theme="5"/>
  </sheetPr>
  <dimension ref="A1:S178"/>
  <sheetViews>
    <sheetView topLeftCell="D1" zoomScaleNormal="100" workbookViewId="0">
      <selection activeCell="S171" sqref="S171"/>
    </sheetView>
  </sheetViews>
  <sheetFormatPr defaultRowHeight="12.75" outlineLevelCol="1"/>
  <cols>
    <col min="1" max="1" width="28.5703125" style="315" hidden="1" customWidth="1" outlineLevel="1"/>
    <col min="2" max="2" width="21.7109375" style="315" hidden="1" customWidth="1" outlineLevel="1"/>
    <col min="3" max="3" width="21.7109375" style="1176" hidden="1" customWidth="1" outlineLevel="1"/>
    <col min="4" max="4" width="13.42578125" style="126" customWidth="1" collapsed="1"/>
    <col min="5" max="16" width="9.140625" style="126"/>
    <col min="17" max="17" width="1.7109375" style="126" customWidth="1"/>
    <col min="18" max="18" width="9.140625" style="1186"/>
    <col min="19" max="19" width="9.85546875" style="281" bestFit="1" customWidth="1"/>
    <col min="20" max="16384" width="9.140625" style="126"/>
  </cols>
  <sheetData>
    <row r="1" spans="1:19">
      <c r="D1" s="126" t="s">
        <v>91</v>
      </c>
      <c r="E1" s="126" t="str">
        <f>'ORTP Summary'!C1</f>
        <v>ISO-NE ORTP 2013 Study</v>
      </c>
    </row>
    <row r="2" spans="1:19">
      <c r="D2" s="126" t="s">
        <v>92</v>
      </c>
      <c r="E2" s="140" t="s">
        <v>113</v>
      </c>
    </row>
    <row r="3" spans="1:19">
      <c r="D3" s="126" t="s">
        <v>114</v>
      </c>
      <c r="E3" s="95" t="s">
        <v>116</v>
      </c>
    </row>
    <row r="4" spans="1:19">
      <c r="E4" s="95"/>
    </row>
    <row r="5" spans="1:19">
      <c r="D5" s="126" t="s">
        <v>889</v>
      </c>
      <c r="E5" s="126" t="s">
        <v>891</v>
      </c>
    </row>
    <row r="6" spans="1:19">
      <c r="E6" s="126" t="s">
        <v>890</v>
      </c>
    </row>
    <row r="7" spans="1:19">
      <c r="E7" s="126" t="s">
        <v>892</v>
      </c>
    </row>
    <row r="8" spans="1:19">
      <c r="E8" s="126" t="s">
        <v>893</v>
      </c>
    </row>
    <row r="10" spans="1:19" s="130" customFormat="1">
      <c r="A10" s="320"/>
      <c r="B10" s="320"/>
      <c r="C10" s="1177"/>
      <c r="D10" s="86" t="s">
        <v>851</v>
      </c>
      <c r="E10" s="127"/>
      <c r="F10" s="127"/>
      <c r="G10" s="127"/>
      <c r="H10" s="127"/>
      <c r="I10" s="127"/>
      <c r="J10" s="127"/>
      <c r="K10" s="127"/>
      <c r="L10" s="127"/>
      <c r="M10" s="127"/>
      <c r="N10" s="127"/>
      <c r="O10" s="127"/>
      <c r="P10" s="127"/>
      <c r="Q10" s="127"/>
      <c r="R10" s="1189"/>
      <c r="S10" s="127"/>
    </row>
    <row r="11" spans="1:19">
      <c r="D11" s="95" t="s">
        <v>39</v>
      </c>
      <c r="E11" s="126" t="s">
        <v>920</v>
      </c>
    </row>
    <row r="12" spans="1:19">
      <c r="D12" s="95" t="s">
        <v>914</v>
      </c>
      <c r="E12" s="126" t="s">
        <v>917</v>
      </c>
    </row>
    <row r="13" spans="1:19" ht="12" customHeight="1">
      <c r="D13" s="95" t="s">
        <v>915</v>
      </c>
      <c r="E13" s="126" t="s">
        <v>916</v>
      </c>
    </row>
    <row r="14" spans="1:19" ht="12" customHeight="1">
      <c r="D14" s="95" t="s">
        <v>921</v>
      </c>
      <c r="E14" s="126" t="s">
        <v>922</v>
      </c>
    </row>
    <row r="15" spans="1:19" ht="12" customHeight="1">
      <c r="D15" s="95" t="s">
        <v>918</v>
      </c>
      <c r="E15" s="126" t="s">
        <v>919</v>
      </c>
    </row>
    <row r="16" spans="1:19" ht="12" customHeight="1">
      <c r="D16" s="95" t="s">
        <v>923</v>
      </c>
      <c r="E16" s="126" t="s">
        <v>924</v>
      </c>
    </row>
    <row r="17" spans="1:19">
      <c r="D17" s="95" t="s">
        <v>873</v>
      </c>
      <c r="E17" s="126" t="s">
        <v>869</v>
      </c>
    </row>
    <row r="18" spans="1:19" ht="13.5" customHeight="1">
      <c r="D18" s="95" t="s">
        <v>94</v>
      </c>
      <c r="E18" s="1221" t="s">
        <v>884</v>
      </c>
    </row>
    <row r="19" spans="1:19">
      <c r="D19" s="95" t="s">
        <v>191</v>
      </c>
      <c r="E19" s="279">
        <v>41514</v>
      </c>
    </row>
    <row r="20" spans="1:19" ht="13.5" thickBot="1"/>
    <row r="21" spans="1:19">
      <c r="A21" s="321" t="s">
        <v>204</v>
      </c>
      <c r="B21" s="321" t="s">
        <v>205</v>
      </c>
      <c r="C21" s="1178" t="s">
        <v>206</v>
      </c>
      <c r="D21" s="102" t="s">
        <v>42</v>
      </c>
      <c r="E21" s="261" t="s">
        <v>812</v>
      </c>
      <c r="R21" s="1237" t="s">
        <v>925</v>
      </c>
      <c r="S21" s="1240" t="s">
        <v>206</v>
      </c>
    </row>
    <row r="22" spans="1:19">
      <c r="A22" s="322" t="str">
        <f>B22&amp;"_"&amp;R22</f>
        <v>Utility Const Wage_MA_FCA9</v>
      </c>
      <c r="B22" s="315" t="s">
        <v>903</v>
      </c>
      <c r="C22" s="1179">
        <f>IFERROR(S22, NA())</f>
        <v>107296</v>
      </c>
      <c r="D22" s="102">
        <v>2012</v>
      </c>
      <c r="E22" s="1220">
        <v>107296</v>
      </c>
      <c r="F22" s="1222"/>
      <c r="R22" s="1238" t="s">
        <v>894</v>
      </c>
      <c r="S22" s="1241">
        <f>E22</f>
        <v>107296</v>
      </c>
    </row>
    <row r="23" spans="1:19">
      <c r="A23" s="322" t="str">
        <f>B23&amp;"_"&amp;R23</f>
        <v>Utility Const Wage_MA_FCA10</v>
      </c>
      <c r="B23" s="315" t="s">
        <v>903</v>
      </c>
      <c r="C23" s="1179">
        <f>IFERROR(S23, NA())</f>
        <v>108000</v>
      </c>
      <c r="D23" s="102">
        <v>2013</v>
      </c>
      <c r="E23" s="1180">
        <v>108000</v>
      </c>
      <c r="R23" s="1243" t="s">
        <v>895</v>
      </c>
      <c r="S23" s="1244">
        <f>E23</f>
        <v>108000</v>
      </c>
    </row>
    <row r="24" spans="1:19" ht="13.5" thickBot="1">
      <c r="A24" s="322" t="str">
        <f>B24&amp;"_"&amp;R24</f>
        <v>Utility Const Wage_MA_FCA11</v>
      </c>
      <c r="B24" s="315" t="s">
        <v>903</v>
      </c>
      <c r="C24" s="1179">
        <f>IFERROR(S24, NA())</f>
        <v>109000</v>
      </c>
      <c r="D24" s="102">
        <v>2014</v>
      </c>
      <c r="E24" s="1180">
        <v>109000</v>
      </c>
      <c r="R24" s="1239" t="s">
        <v>896</v>
      </c>
      <c r="S24" s="1242">
        <f>E24</f>
        <v>109000</v>
      </c>
    </row>
    <row r="25" spans="1:19">
      <c r="A25" s="322"/>
      <c r="C25" s="1179"/>
      <c r="D25" s="102"/>
      <c r="E25" s="281"/>
      <c r="S25" s="282"/>
    </row>
    <row r="26" spans="1:19">
      <c r="D26" s="95" t="s">
        <v>39</v>
      </c>
      <c r="E26" s="126" t="s">
        <v>920</v>
      </c>
    </row>
    <row r="27" spans="1:19">
      <c r="D27" s="95" t="s">
        <v>914</v>
      </c>
      <c r="E27" s="126" t="s">
        <v>917</v>
      </c>
    </row>
    <row r="28" spans="1:19">
      <c r="D28" s="95" t="s">
        <v>915</v>
      </c>
      <c r="E28" s="126" t="s">
        <v>934</v>
      </c>
    </row>
    <row r="29" spans="1:19" ht="12" customHeight="1">
      <c r="D29" s="95" t="s">
        <v>921</v>
      </c>
      <c r="E29" s="126" t="s">
        <v>922</v>
      </c>
    </row>
    <row r="30" spans="1:19" ht="12" customHeight="1">
      <c r="D30" s="95" t="s">
        <v>918</v>
      </c>
      <c r="E30" s="126" t="s">
        <v>919</v>
      </c>
    </row>
    <row r="31" spans="1:19" ht="12" customHeight="1">
      <c r="D31" s="95" t="s">
        <v>923</v>
      </c>
      <c r="E31" s="126" t="s">
        <v>924</v>
      </c>
    </row>
    <row r="32" spans="1:19">
      <c r="D32" s="95" t="s">
        <v>873</v>
      </c>
      <c r="E32" s="278" t="s">
        <v>868</v>
      </c>
    </row>
    <row r="33" spans="1:19">
      <c r="D33" s="95" t="s">
        <v>94</v>
      </c>
      <c r="E33" s="1221" t="s">
        <v>884</v>
      </c>
    </row>
    <row r="34" spans="1:19">
      <c r="D34" s="95" t="s">
        <v>191</v>
      </c>
      <c r="E34" s="279">
        <v>41514</v>
      </c>
    </row>
    <row r="35" spans="1:19" ht="13.5" thickBot="1"/>
    <row r="36" spans="1:19">
      <c r="A36" s="321" t="s">
        <v>204</v>
      </c>
      <c r="B36" s="321" t="s">
        <v>205</v>
      </c>
      <c r="C36" s="1178" t="s">
        <v>206</v>
      </c>
      <c r="D36" s="102" t="s">
        <v>42</v>
      </c>
      <c r="E36" s="261" t="s">
        <v>812</v>
      </c>
      <c r="R36" s="1237" t="s">
        <v>925</v>
      </c>
      <c r="S36" s="1240" t="s">
        <v>206</v>
      </c>
    </row>
    <row r="37" spans="1:19">
      <c r="A37" s="322" t="str">
        <f>B37&amp;"_"&amp;R37</f>
        <v>Utility Const Wage_ME_FCA9</v>
      </c>
      <c r="B37" s="315" t="s">
        <v>904</v>
      </c>
      <c r="C37" s="1179">
        <f>IFERROR(S37, NA())</f>
        <v>61084</v>
      </c>
      <c r="D37" s="102">
        <v>2012</v>
      </c>
      <c r="E37" s="1220">
        <v>61084</v>
      </c>
      <c r="F37" s="1222"/>
      <c r="R37" s="1238" t="s">
        <v>894</v>
      </c>
      <c r="S37" s="1241">
        <f>E37</f>
        <v>61084</v>
      </c>
    </row>
    <row r="38" spans="1:19">
      <c r="A38" s="322" t="str">
        <f>B38&amp;"_"&amp;R38</f>
        <v>Utility Const Wage_ME_FCA10</v>
      </c>
      <c r="B38" s="315" t="s">
        <v>904</v>
      </c>
      <c r="C38" s="1179">
        <f>IFERROR(S38, NA())</f>
        <v>65000</v>
      </c>
      <c r="D38" s="102">
        <v>2013</v>
      </c>
      <c r="E38" s="1180">
        <v>65000</v>
      </c>
      <c r="R38" s="1243" t="s">
        <v>895</v>
      </c>
      <c r="S38" s="1244">
        <f>E38</f>
        <v>65000</v>
      </c>
    </row>
    <row r="39" spans="1:19" ht="13.5" thickBot="1">
      <c r="A39" s="322" t="str">
        <f>B39&amp;"_"&amp;R39</f>
        <v>Utility Const Wage_ME_FCA11</v>
      </c>
      <c r="B39" s="315" t="s">
        <v>904</v>
      </c>
      <c r="C39" s="1179">
        <f>IFERROR(S39, NA())</f>
        <v>66000</v>
      </c>
      <c r="D39" s="102">
        <v>2014</v>
      </c>
      <c r="E39" s="1180">
        <v>66000</v>
      </c>
      <c r="R39" s="1239" t="s">
        <v>896</v>
      </c>
      <c r="S39" s="1242">
        <f>E39</f>
        <v>66000</v>
      </c>
    </row>
    <row r="40" spans="1:19">
      <c r="A40" s="322"/>
      <c r="C40" s="1179"/>
      <c r="D40" s="102"/>
      <c r="E40" s="1220"/>
      <c r="S40" s="282"/>
    </row>
    <row r="43" spans="1:19" s="130" customFormat="1">
      <c r="A43" s="320"/>
      <c r="B43" s="320"/>
      <c r="C43" s="1177"/>
      <c r="D43" s="86" t="s">
        <v>852</v>
      </c>
      <c r="E43" s="127"/>
      <c r="F43" s="127"/>
      <c r="G43" s="127"/>
      <c r="H43" s="127"/>
      <c r="I43" s="127"/>
      <c r="J43" s="127"/>
      <c r="K43" s="127"/>
      <c r="L43" s="127"/>
      <c r="M43" s="127"/>
      <c r="N43" s="127"/>
      <c r="O43" s="127"/>
      <c r="P43" s="127"/>
      <c r="Q43" s="127"/>
      <c r="R43" s="1189"/>
      <c r="S43" s="127"/>
    </row>
    <row r="44" spans="1:19">
      <c r="D44" s="95" t="s">
        <v>39</v>
      </c>
      <c r="E44" s="126" t="s">
        <v>920</v>
      </c>
    </row>
    <row r="45" spans="1:19" ht="12" customHeight="1">
      <c r="D45" s="95" t="s">
        <v>914</v>
      </c>
      <c r="E45" s="126" t="s">
        <v>935</v>
      </c>
    </row>
    <row r="46" spans="1:19" ht="12" customHeight="1">
      <c r="D46" s="95" t="s">
        <v>915</v>
      </c>
      <c r="E46" s="126" t="s">
        <v>916</v>
      </c>
    </row>
    <row r="47" spans="1:19" ht="12" customHeight="1">
      <c r="D47" s="95" t="s">
        <v>921</v>
      </c>
      <c r="E47" s="126" t="s">
        <v>922</v>
      </c>
    </row>
    <row r="48" spans="1:19" ht="12" customHeight="1">
      <c r="D48" s="95" t="s">
        <v>918</v>
      </c>
      <c r="E48" s="126" t="s">
        <v>919</v>
      </c>
    </row>
    <row r="49" spans="1:19" ht="12" customHeight="1">
      <c r="D49" s="95" t="s">
        <v>923</v>
      </c>
      <c r="E49" s="126" t="s">
        <v>924</v>
      </c>
    </row>
    <row r="50" spans="1:19" ht="12" customHeight="1">
      <c r="D50" s="95" t="s">
        <v>873</v>
      </c>
      <c r="E50" s="1248" t="s">
        <v>871</v>
      </c>
      <c r="F50" s="1249"/>
      <c r="G50" s="1249"/>
      <c r="H50" s="1249"/>
      <c r="I50" s="1249"/>
    </row>
    <row r="51" spans="1:19">
      <c r="D51" s="95" t="s">
        <v>94</v>
      </c>
      <c r="E51" s="1221" t="s">
        <v>884</v>
      </c>
    </row>
    <row r="52" spans="1:19">
      <c r="D52" s="95" t="s">
        <v>191</v>
      </c>
      <c r="E52" s="279">
        <v>41514</v>
      </c>
    </row>
    <row r="53" spans="1:19" ht="13.5" thickBot="1"/>
    <row r="54" spans="1:19">
      <c r="A54" s="321" t="s">
        <v>204</v>
      </c>
      <c r="B54" s="321" t="s">
        <v>205</v>
      </c>
      <c r="C54" s="1178" t="s">
        <v>206</v>
      </c>
      <c r="D54" s="102" t="s">
        <v>42</v>
      </c>
      <c r="E54" s="261" t="s">
        <v>812</v>
      </c>
      <c r="R54" s="1237" t="s">
        <v>925</v>
      </c>
      <c r="S54" s="1240" t="s">
        <v>206</v>
      </c>
    </row>
    <row r="55" spans="1:19">
      <c r="A55" s="322" t="str">
        <f>B55&amp;"_"&amp;R55</f>
        <v>Power Gen Wage_MA_FCA9</v>
      </c>
      <c r="B55" s="315" t="s">
        <v>881</v>
      </c>
      <c r="C55" s="1179">
        <f>IFERROR(S55, NA())</f>
        <v>119283</v>
      </c>
      <c r="D55" s="102">
        <v>2012</v>
      </c>
      <c r="E55" s="1220">
        <v>119283</v>
      </c>
      <c r="F55" s="1222"/>
      <c r="R55" s="1238" t="s">
        <v>894</v>
      </c>
      <c r="S55" s="1241">
        <f>E55</f>
        <v>119283</v>
      </c>
    </row>
    <row r="56" spans="1:19">
      <c r="A56" s="322" t="str">
        <f>B56&amp;"_"&amp;R56</f>
        <v>Power Gen Wage_MA_FCA10</v>
      </c>
      <c r="B56" s="315" t="s">
        <v>881</v>
      </c>
      <c r="C56" s="1179">
        <f>IFERROR(S56, NA())</f>
        <v>120000</v>
      </c>
      <c r="D56" s="102">
        <v>2013</v>
      </c>
      <c r="E56" s="1180">
        <v>120000</v>
      </c>
      <c r="R56" s="1243" t="s">
        <v>895</v>
      </c>
      <c r="S56" s="1244">
        <f>E56</f>
        <v>120000</v>
      </c>
    </row>
    <row r="57" spans="1:19" ht="13.5" thickBot="1">
      <c r="A57" s="322" t="str">
        <f>B57&amp;"_"&amp;R57</f>
        <v>Power Gen Wage_MA_FCA11</v>
      </c>
      <c r="B57" s="315" t="s">
        <v>881</v>
      </c>
      <c r="C57" s="1179">
        <f>IFERROR(S57, NA())</f>
        <v>123000</v>
      </c>
      <c r="D57" s="102">
        <v>2014</v>
      </c>
      <c r="E57" s="1180">
        <v>123000</v>
      </c>
      <c r="R57" s="1239" t="s">
        <v>896</v>
      </c>
      <c r="S57" s="1242">
        <f>E57</f>
        <v>123000</v>
      </c>
    </row>
    <row r="58" spans="1:19">
      <c r="A58" s="322"/>
      <c r="C58" s="1179"/>
      <c r="D58" s="102"/>
      <c r="E58" s="281"/>
      <c r="S58" s="282"/>
    </row>
    <row r="60" spans="1:19">
      <c r="D60" s="95" t="s">
        <v>39</v>
      </c>
      <c r="E60" s="126" t="s">
        <v>870</v>
      </c>
    </row>
    <row r="61" spans="1:19">
      <c r="D61" s="95" t="s">
        <v>914</v>
      </c>
      <c r="E61" s="126" t="s">
        <v>935</v>
      </c>
    </row>
    <row r="62" spans="1:19" ht="12" customHeight="1">
      <c r="D62" s="95" t="s">
        <v>915</v>
      </c>
      <c r="E62" s="126" t="s">
        <v>934</v>
      </c>
    </row>
    <row r="63" spans="1:19" ht="12" customHeight="1">
      <c r="D63" s="95" t="s">
        <v>921</v>
      </c>
      <c r="E63" s="126" t="s">
        <v>922</v>
      </c>
    </row>
    <row r="64" spans="1:19" ht="12" customHeight="1">
      <c r="D64" s="95" t="s">
        <v>918</v>
      </c>
      <c r="E64" s="126" t="s">
        <v>919</v>
      </c>
    </row>
    <row r="65" spans="1:19" ht="12" customHeight="1">
      <c r="D65" s="95" t="s">
        <v>923</v>
      </c>
      <c r="E65" s="126" t="s">
        <v>924</v>
      </c>
    </row>
    <row r="66" spans="1:19">
      <c r="D66" s="95" t="s">
        <v>873</v>
      </c>
      <c r="E66" s="1250" t="s">
        <v>872</v>
      </c>
    </row>
    <row r="67" spans="1:19">
      <c r="D67" s="95" t="s">
        <v>94</v>
      </c>
      <c r="E67" s="1221" t="s">
        <v>884</v>
      </c>
    </row>
    <row r="68" spans="1:19">
      <c r="D68" s="95" t="s">
        <v>191</v>
      </c>
      <c r="E68" s="279">
        <v>41514</v>
      </c>
    </row>
    <row r="69" spans="1:19" ht="13.5" thickBot="1"/>
    <row r="70" spans="1:19">
      <c r="A70" s="321" t="s">
        <v>204</v>
      </c>
      <c r="B70" s="321" t="s">
        <v>205</v>
      </c>
      <c r="C70" s="1178" t="s">
        <v>206</v>
      </c>
      <c r="D70" s="102" t="s">
        <v>42</v>
      </c>
      <c r="E70" s="261" t="s">
        <v>812</v>
      </c>
      <c r="R70" s="1237" t="s">
        <v>925</v>
      </c>
      <c r="S70" s="1240" t="s">
        <v>206</v>
      </c>
    </row>
    <row r="71" spans="1:19">
      <c r="A71" s="322" t="str">
        <f>B71&amp;"_"&amp;R71</f>
        <v>Power Gen Wage_ME_FCA9</v>
      </c>
      <c r="B71" s="315" t="s">
        <v>882</v>
      </c>
      <c r="C71" s="1179">
        <f>IFERROR(S71, NA())</f>
        <v>85261</v>
      </c>
      <c r="D71" s="102">
        <v>2012</v>
      </c>
      <c r="E71" s="1220">
        <v>85261</v>
      </c>
      <c r="F71" s="1222"/>
      <c r="R71" s="1238" t="s">
        <v>894</v>
      </c>
      <c r="S71" s="1241">
        <f>E71</f>
        <v>85261</v>
      </c>
    </row>
    <row r="72" spans="1:19" ht="12.75" customHeight="1">
      <c r="A72" s="322" t="str">
        <f>B72&amp;"_"&amp;R72</f>
        <v>Power Gen Wage_ME_FCA10</v>
      </c>
      <c r="B72" s="315" t="s">
        <v>882</v>
      </c>
      <c r="C72" s="1179">
        <f>IFERROR(S72, NA())</f>
        <v>90000</v>
      </c>
      <c r="D72" s="102">
        <v>2013</v>
      </c>
      <c r="E72" s="1180">
        <v>90000</v>
      </c>
      <c r="R72" s="1243" t="s">
        <v>895</v>
      </c>
      <c r="S72" s="1244">
        <f>E72</f>
        <v>90000</v>
      </c>
    </row>
    <row r="73" spans="1:19" ht="12.75" customHeight="1" thickBot="1">
      <c r="A73" s="322" t="str">
        <f>B73&amp;"_"&amp;R73</f>
        <v>Power Gen Wage_ME_FCA11</v>
      </c>
      <c r="B73" s="315" t="s">
        <v>882</v>
      </c>
      <c r="C73" s="1179">
        <f>IFERROR(S73, NA())</f>
        <v>92000</v>
      </c>
      <c r="D73" s="102">
        <v>2014</v>
      </c>
      <c r="E73" s="1180">
        <v>92000</v>
      </c>
      <c r="R73" s="1239" t="s">
        <v>896</v>
      </c>
      <c r="S73" s="1242">
        <f>E73</f>
        <v>92000</v>
      </c>
    </row>
    <row r="74" spans="1:19" ht="12.75" customHeight="1">
      <c r="A74" s="322"/>
      <c r="C74" s="1179"/>
      <c r="D74" s="102"/>
      <c r="E74" s="281"/>
      <c r="S74" s="282"/>
    </row>
    <row r="75" spans="1:19" ht="12.75" customHeight="1"/>
    <row r="76" spans="1:19" ht="12.75" customHeight="1"/>
    <row r="77" spans="1:19" s="130" customFormat="1" ht="12.75" customHeight="1">
      <c r="A77" s="320"/>
      <c r="B77" s="320"/>
      <c r="C77" s="1177"/>
      <c r="D77" s="86" t="s">
        <v>96</v>
      </c>
      <c r="E77" s="127"/>
      <c r="F77" s="127"/>
      <c r="G77" s="127"/>
      <c r="H77" s="127"/>
      <c r="I77" s="127"/>
      <c r="J77" s="127"/>
      <c r="K77" s="127"/>
      <c r="L77" s="127"/>
      <c r="M77" s="127"/>
      <c r="N77" s="127"/>
      <c r="O77" s="127"/>
      <c r="P77" s="127"/>
      <c r="Q77" s="127"/>
      <c r="R77" s="1189"/>
      <c r="S77" s="127"/>
    </row>
    <row r="78" spans="1:19" ht="12.75" customHeight="1">
      <c r="D78" s="95" t="s">
        <v>39</v>
      </c>
      <c r="E78" s="278" t="s">
        <v>942</v>
      </c>
    </row>
    <row r="79" spans="1:19" ht="12.75" customHeight="1">
      <c r="D79" s="95" t="s">
        <v>937</v>
      </c>
      <c r="E79" s="278" t="s">
        <v>936</v>
      </c>
    </row>
    <row r="80" spans="1:19" ht="12.75" customHeight="1">
      <c r="D80" s="95" t="s">
        <v>938</v>
      </c>
      <c r="E80" s="278" t="s">
        <v>939</v>
      </c>
    </row>
    <row r="81" spans="1:19" ht="12.75" customHeight="1">
      <c r="D81" s="95" t="s">
        <v>941</v>
      </c>
      <c r="E81" s="278" t="s">
        <v>940</v>
      </c>
    </row>
    <row r="82" spans="1:19" ht="12.75" customHeight="1">
      <c r="D82" s="95" t="s">
        <v>873</v>
      </c>
      <c r="E82" s="278" t="s">
        <v>885</v>
      </c>
    </row>
    <row r="83" spans="1:19" ht="12.75" customHeight="1">
      <c r="D83" s="95" t="s">
        <v>94</v>
      </c>
      <c r="E83" s="1251" t="s">
        <v>875</v>
      </c>
    </row>
    <row r="84" spans="1:19" ht="12.75" customHeight="1">
      <c r="D84" s="95" t="s">
        <v>191</v>
      </c>
      <c r="E84" s="1142">
        <v>41514</v>
      </c>
    </row>
    <row r="85" spans="1:19" ht="12.75" customHeight="1" thickBot="1"/>
    <row r="86" spans="1:19" ht="12.75" customHeight="1">
      <c r="D86" s="102" t="s">
        <v>42</v>
      </c>
      <c r="E86" s="261" t="s">
        <v>192</v>
      </c>
      <c r="F86" s="261" t="s">
        <v>193</v>
      </c>
      <c r="G86" s="261" t="s">
        <v>194</v>
      </c>
      <c r="H86" s="261" t="s">
        <v>195</v>
      </c>
      <c r="I86" s="261" t="s">
        <v>196</v>
      </c>
      <c r="J86" s="261" t="s">
        <v>197</v>
      </c>
      <c r="K86" s="261" t="s">
        <v>198</v>
      </c>
      <c r="L86" s="261" t="s">
        <v>199</v>
      </c>
      <c r="M86" s="261" t="s">
        <v>200</v>
      </c>
      <c r="N86" s="261" t="s">
        <v>201</v>
      </c>
      <c r="O86" s="261" t="s">
        <v>202</v>
      </c>
      <c r="P86" s="261" t="s">
        <v>203</v>
      </c>
      <c r="Q86" s="261"/>
      <c r="R86" s="1237" t="s">
        <v>925</v>
      </c>
      <c r="S86" s="1240" t="s">
        <v>206</v>
      </c>
    </row>
    <row r="87" spans="1:19" ht="12.75" customHeight="1">
      <c r="A87" s="322" t="str">
        <f>B87&amp;"_"&amp;R87</f>
        <v>PPI Materials_FCA9</v>
      </c>
      <c r="B87" s="315" t="s">
        <v>128</v>
      </c>
      <c r="C87" s="1179">
        <f>IFERROR(S87, NA())</f>
        <v>221.15</v>
      </c>
      <c r="D87" s="102">
        <v>2012</v>
      </c>
      <c r="E87" s="261">
        <v>215.3</v>
      </c>
      <c r="F87" s="261">
        <v>216.8</v>
      </c>
      <c r="G87" s="261">
        <v>217.4</v>
      </c>
      <c r="H87" s="261">
        <v>218.3</v>
      </c>
      <c r="I87" s="261">
        <v>219.1</v>
      </c>
      <c r="J87" s="261">
        <v>219.1</v>
      </c>
      <c r="K87" s="261">
        <v>218.5</v>
      </c>
      <c r="L87" s="261">
        <v>218.7</v>
      </c>
      <c r="M87" s="261">
        <v>219.2</v>
      </c>
      <c r="N87" s="261">
        <v>219.1</v>
      </c>
      <c r="O87" s="261">
        <v>219.5</v>
      </c>
      <c r="P87" s="261">
        <v>219.9</v>
      </c>
      <c r="Q87" s="261"/>
      <c r="R87" s="1238" t="s">
        <v>894</v>
      </c>
      <c r="S87" s="1241">
        <f>AVERAGE($L$87:$P$87,$E$88:$K$88)</f>
        <v>221.15</v>
      </c>
    </row>
    <row r="88" spans="1:19" ht="12.75" customHeight="1">
      <c r="A88" s="322" t="str">
        <f>B88&amp;"_"&amp;R88</f>
        <v>PPI Materials_FCA10</v>
      </c>
      <c r="B88" s="315" t="s">
        <v>128</v>
      </c>
      <c r="C88" s="1179">
        <f>IFERROR(S88, NA())</f>
        <v>230</v>
      </c>
      <c r="D88" s="102">
        <v>2013</v>
      </c>
      <c r="E88" s="1185">
        <v>221.2</v>
      </c>
      <c r="F88" s="1185">
        <v>222.2</v>
      </c>
      <c r="G88" s="1185">
        <v>222.7</v>
      </c>
      <c r="H88" s="1185">
        <v>223.1</v>
      </c>
      <c r="I88" s="1185">
        <v>223</v>
      </c>
      <c r="J88" s="1185">
        <v>222.6</v>
      </c>
      <c r="K88" s="1185">
        <v>222.6</v>
      </c>
      <c r="L88" s="1181">
        <v>230</v>
      </c>
      <c r="M88" s="1181">
        <v>230</v>
      </c>
      <c r="N88" s="1181">
        <v>230</v>
      </c>
      <c r="O88" s="1181">
        <v>230</v>
      </c>
      <c r="P88" s="1181">
        <v>230</v>
      </c>
      <c r="Q88" s="1185"/>
      <c r="R88" s="1243" t="s">
        <v>895</v>
      </c>
      <c r="S88" s="1244">
        <f>AVERAGE($L$88:$P$88,$E$89:$K$89)</f>
        <v>230</v>
      </c>
    </row>
    <row r="89" spans="1:19" ht="12.75" customHeight="1" thickBot="1">
      <c r="A89" s="322" t="str">
        <f>B89&amp;"_"&amp;R89</f>
        <v>PPI Materials_FCA11</v>
      </c>
      <c r="B89" s="315" t="s">
        <v>128</v>
      </c>
      <c r="C89" s="1179">
        <f>IFERROR(S89, NA())</f>
        <v>240</v>
      </c>
      <c r="D89" s="102">
        <v>2014</v>
      </c>
      <c r="E89" s="1181">
        <v>230</v>
      </c>
      <c r="F89" s="1181">
        <v>230</v>
      </c>
      <c r="G89" s="1181">
        <v>230</v>
      </c>
      <c r="H89" s="1181">
        <v>230</v>
      </c>
      <c r="I89" s="1181">
        <v>230</v>
      </c>
      <c r="J89" s="1181">
        <v>230</v>
      </c>
      <c r="K89" s="1181">
        <v>230</v>
      </c>
      <c r="L89" s="1181">
        <v>240</v>
      </c>
      <c r="M89" s="1181">
        <v>240</v>
      </c>
      <c r="N89" s="1181">
        <v>240</v>
      </c>
      <c r="O89" s="1181">
        <v>240</v>
      </c>
      <c r="P89" s="1181">
        <v>240</v>
      </c>
      <c r="Q89" s="1185"/>
      <c r="R89" s="1239" t="s">
        <v>896</v>
      </c>
      <c r="S89" s="1242">
        <f>AVERAGE($L$89:$P$89,$E$90:$K$90)</f>
        <v>240</v>
      </c>
    </row>
    <row r="90" spans="1:19" ht="12.75" customHeight="1">
      <c r="A90" s="322"/>
      <c r="C90" s="1179"/>
      <c r="D90" s="102">
        <v>2015</v>
      </c>
      <c r="E90" s="1181">
        <v>240</v>
      </c>
      <c r="F90" s="1181">
        <v>240</v>
      </c>
      <c r="G90" s="1181">
        <v>240</v>
      </c>
      <c r="H90" s="1181">
        <v>240</v>
      </c>
      <c r="I90" s="1181">
        <v>240</v>
      </c>
      <c r="J90" s="1181">
        <v>240</v>
      </c>
      <c r="K90" s="1181">
        <v>240</v>
      </c>
      <c r="L90" s="1175"/>
      <c r="M90" s="1175"/>
      <c r="N90" s="1175"/>
      <c r="O90" s="1175"/>
      <c r="P90" s="1175"/>
      <c r="Q90" s="281"/>
      <c r="S90" s="282"/>
    </row>
    <row r="91" spans="1:19" ht="12.75" customHeight="1"/>
    <row r="92" spans="1:19" s="130" customFormat="1" ht="12.75" customHeight="1">
      <c r="A92" s="320"/>
      <c r="B92" s="320"/>
      <c r="C92" s="1177"/>
      <c r="D92" s="86" t="s">
        <v>217</v>
      </c>
      <c r="E92" s="127"/>
      <c r="F92" s="127"/>
      <c r="G92" s="127"/>
      <c r="H92" s="127"/>
      <c r="I92" s="127"/>
      <c r="J92" s="127"/>
      <c r="K92" s="127"/>
      <c r="L92" s="127"/>
      <c r="M92" s="127"/>
      <c r="N92" s="127"/>
      <c r="O92" s="127"/>
      <c r="P92" s="127"/>
      <c r="Q92" s="127"/>
      <c r="R92" s="1189"/>
      <c r="S92" s="127"/>
    </row>
    <row r="93" spans="1:19" ht="12.75" customHeight="1">
      <c r="D93" s="95" t="s">
        <v>39</v>
      </c>
      <c r="E93" s="278" t="s">
        <v>946</v>
      </c>
    </row>
    <row r="94" spans="1:19" ht="12.75" customHeight="1">
      <c r="D94" s="95" t="s">
        <v>914</v>
      </c>
      <c r="E94" s="278" t="s">
        <v>943</v>
      </c>
    </row>
    <row r="95" spans="1:19" ht="12.75" customHeight="1">
      <c r="D95" s="95" t="s">
        <v>944</v>
      </c>
      <c r="E95" s="278" t="s">
        <v>943</v>
      </c>
    </row>
    <row r="96" spans="1:19" ht="12.75" customHeight="1">
      <c r="D96" s="95" t="s">
        <v>873</v>
      </c>
      <c r="E96" s="278" t="s">
        <v>853</v>
      </c>
    </row>
    <row r="97" spans="1:19" ht="12.75" customHeight="1">
      <c r="D97" s="95" t="s">
        <v>94</v>
      </c>
      <c r="E97" s="1251" t="s">
        <v>876</v>
      </c>
    </row>
    <row r="98" spans="1:19" ht="12.75" customHeight="1">
      <c r="D98" s="95" t="s">
        <v>191</v>
      </c>
      <c r="E98" s="1142">
        <v>41514</v>
      </c>
    </row>
    <row r="99" spans="1:19" ht="12.75" customHeight="1" thickBot="1"/>
    <row r="100" spans="1:19" ht="12.75" customHeight="1">
      <c r="D100" s="102" t="s">
        <v>42</v>
      </c>
      <c r="E100" s="261" t="s">
        <v>192</v>
      </c>
      <c r="F100" s="261" t="s">
        <v>193</v>
      </c>
      <c r="G100" s="261" t="s">
        <v>194</v>
      </c>
      <c r="H100" s="261" t="s">
        <v>195</v>
      </c>
      <c r="I100" s="261" t="s">
        <v>196</v>
      </c>
      <c r="J100" s="261" t="s">
        <v>197</v>
      </c>
      <c r="K100" s="261" t="s">
        <v>198</v>
      </c>
      <c r="L100" s="261" t="s">
        <v>199</v>
      </c>
      <c r="M100" s="261" t="s">
        <v>200</v>
      </c>
      <c r="N100" s="261" t="s">
        <v>201</v>
      </c>
      <c r="O100" s="261" t="s">
        <v>202</v>
      </c>
      <c r="P100" s="261" t="s">
        <v>203</v>
      </c>
      <c r="Q100" s="261"/>
      <c r="R100" s="1237" t="s">
        <v>925</v>
      </c>
      <c r="S100" s="1240" t="s">
        <v>206</v>
      </c>
    </row>
    <row r="101" spans="1:19" ht="12.75" customHeight="1">
      <c r="A101" s="322" t="str">
        <f>B101&amp;"_"&amp;R101</f>
        <v>PPI - Elect. Dist._FCA9</v>
      </c>
      <c r="B101" s="315" t="s">
        <v>132</v>
      </c>
      <c r="C101" s="1179">
        <f>IFERROR(S101, NA())</f>
        <v>136.74999999999997</v>
      </c>
      <c r="D101" s="102">
        <v>2012</v>
      </c>
      <c r="E101" s="281">
        <v>132.4</v>
      </c>
      <c r="F101" s="281">
        <v>132.6</v>
      </c>
      <c r="G101" s="281">
        <v>132.19999999999999</v>
      </c>
      <c r="H101" s="281">
        <v>132.1</v>
      </c>
      <c r="I101" s="281">
        <v>134</v>
      </c>
      <c r="J101" s="281">
        <v>136.69999999999999</v>
      </c>
      <c r="K101" s="281">
        <v>139.19999999999999</v>
      </c>
      <c r="L101" s="281">
        <v>139.19999999999999</v>
      </c>
      <c r="M101" s="281">
        <v>139.6</v>
      </c>
      <c r="N101" s="281">
        <v>136</v>
      </c>
      <c r="O101" s="281">
        <v>134.6</v>
      </c>
      <c r="P101" s="281">
        <v>135.5</v>
      </c>
      <c r="Q101" s="281"/>
      <c r="R101" s="1238" t="s">
        <v>894</v>
      </c>
      <c r="S101" s="1241">
        <f>AVERAGE($L$101:$P$101,$E$102:$K$102)</f>
        <v>136.74999999999997</v>
      </c>
    </row>
    <row r="102" spans="1:19" ht="12.75" customHeight="1">
      <c r="A102" s="322" t="str">
        <f>B102&amp;"_"&amp;R102</f>
        <v>PPI - Elect. Dist._FCA10</v>
      </c>
      <c r="B102" s="315" t="s">
        <v>132</v>
      </c>
      <c r="C102" s="1179">
        <f>IFERROR(S102, NA())</f>
        <v>142</v>
      </c>
      <c r="D102" s="102">
        <v>2013</v>
      </c>
      <c r="E102" s="1185">
        <v>134.69999999999999</v>
      </c>
      <c r="F102" s="1185">
        <v>134.5</v>
      </c>
      <c r="G102" s="1185">
        <v>134.6</v>
      </c>
      <c r="H102" s="1185">
        <v>134.19999999999999</v>
      </c>
      <c r="I102" s="1185">
        <v>136.6</v>
      </c>
      <c r="J102" s="1185">
        <v>140.30000000000001</v>
      </c>
      <c r="K102" s="1185">
        <v>141.19999999999999</v>
      </c>
      <c r="L102" s="1181">
        <v>142</v>
      </c>
      <c r="M102" s="1181">
        <v>142</v>
      </c>
      <c r="N102" s="1181">
        <v>142</v>
      </c>
      <c r="O102" s="1181">
        <v>142</v>
      </c>
      <c r="P102" s="1181">
        <v>142</v>
      </c>
      <c r="Q102" s="1185"/>
      <c r="R102" s="1243" t="s">
        <v>895</v>
      </c>
      <c r="S102" s="1244">
        <f>AVERAGE($L$102:$P$102,$E$103:$K$103)</f>
        <v>142</v>
      </c>
    </row>
    <row r="103" spans="1:19" ht="12.75" customHeight="1" thickBot="1">
      <c r="A103" s="322" t="str">
        <f>B103&amp;"_"&amp;R103</f>
        <v>PPI - Elect. Dist._FCA11</v>
      </c>
      <c r="B103" s="315" t="s">
        <v>132</v>
      </c>
      <c r="C103" s="1179">
        <f>IFERROR(S103, NA())</f>
        <v>145</v>
      </c>
      <c r="D103" s="102">
        <v>2014</v>
      </c>
      <c r="E103" s="1181">
        <v>142</v>
      </c>
      <c r="F103" s="1181">
        <v>142</v>
      </c>
      <c r="G103" s="1181">
        <v>142</v>
      </c>
      <c r="H103" s="1181">
        <v>142</v>
      </c>
      <c r="I103" s="1181">
        <v>142</v>
      </c>
      <c r="J103" s="1181">
        <v>142</v>
      </c>
      <c r="K103" s="1181">
        <v>142</v>
      </c>
      <c r="L103" s="1181">
        <v>145</v>
      </c>
      <c r="M103" s="1181">
        <v>145</v>
      </c>
      <c r="N103" s="1181">
        <v>145</v>
      </c>
      <c r="O103" s="1181">
        <v>145</v>
      </c>
      <c r="P103" s="1181">
        <v>145</v>
      </c>
      <c r="Q103" s="1185"/>
      <c r="R103" s="1239" t="s">
        <v>896</v>
      </c>
      <c r="S103" s="1242">
        <f>AVERAGE($L$103:$P$103,$E$104:$K$104)</f>
        <v>145</v>
      </c>
    </row>
    <row r="104" spans="1:19" ht="12.75" customHeight="1">
      <c r="A104" s="322"/>
      <c r="C104" s="1179"/>
      <c r="D104" s="102">
        <v>2015</v>
      </c>
      <c r="E104" s="1181">
        <v>145</v>
      </c>
      <c r="F104" s="1181">
        <v>145</v>
      </c>
      <c r="G104" s="1181">
        <v>145</v>
      </c>
      <c r="H104" s="1181">
        <v>145</v>
      </c>
      <c r="I104" s="1181">
        <v>145</v>
      </c>
      <c r="J104" s="1181">
        <v>145</v>
      </c>
      <c r="K104" s="1181">
        <v>145</v>
      </c>
      <c r="L104" s="1175"/>
      <c r="M104" s="1175"/>
      <c r="N104" s="1175"/>
      <c r="O104" s="1175"/>
      <c r="P104" s="1175"/>
      <c r="Q104" s="281"/>
      <c r="S104" s="282"/>
    </row>
    <row r="105" spans="1:19" ht="12.75" customHeight="1"/>
    <row r="106" spans="1:19" s="130" customFormat="1" ht="12.75" customHeight="1">
      <c r="A106" s="320"/>
      <c r="B106" s="320"/>
      <c r="C106" s="1177"/>
      <c r="D106" s="86" t="s">
        <v>219</v>
      </c>
      <c r="E106" s="127"/>
      <c r="F106" s="127"/>
      <c r="G106" s="127"/>
      <c r="H106" s="127"/>
      <c r="I106" s="127"/>
      <c r="J106" s="127"/>
      <c r="K106" s="127"/>
      <c r="L106" s="127"/>
      <c r="M106" s="127"/>
      <c r="N106" s="127"/>
      <c r="O106" s="127"/>
      <c r="P106" s="127"/>
      <c r="Q106" s="127"/>
      <c r="R106" s="1189"/>
      <c r="S106" s="127"/>
    </row>
    <row r="107" spans="1:19" ht="12.75" customHeight="1">
      <c r="D107" s="95" t="s">
        <v>39</v>
      </c>
      <c r="E107" s="278" t="s">
        <v>946</v>
      </c>
    </row>
    <row r="108" spans="1:19" ht="12.75" customHeight="1">
      <c r="D108" s="95" t="s">
        <v>914</v>
      </c>
      <c r="E108" s="278" t="s">
        <v>945</v>
      </c>
    </row>
    <row r="109" spans="1:19" ht="12.75" customHeight="1">
      <c r="D109" s="95" t="s">
        <v>944</v>
      </c>
      <c r="E109" s="278" t="s">
        <v>945</v>
      </c>
    </row>
    <row r="110" spans="1:19" ht="12.75" customHeight="1">
      <c r="D110" s="95" t="s">
        <v>873</v>
      </c>
      <c r="E110" s="278" t="s">
        <v>854</v>
      </c>
    </row>
    <row r="111" spans="1:19" ht="12.75" customHeight="1">
      <c r="D111" s="95" t="s">
        <v>94</v>
      </c>
      <c r="E111" s="1221" t="s">
        <v>876</v>
      </c>
    </row>
    <row r="112" spans="1:19" ht="12.75" customHeight="1">
      <c r="D112" s="95" t="s">
        <v>191</v>
      </c>
      <c r="E112" s="1142">
        <v>41514</v>
      </c>
    </row>
    <row r="113" spans="1:19" ht="12.75" customHeight="1" thickBot="1"/>
    <row r="114" spans="1:19" ht="12.75" customHeight="1">
      <c r="D114" s="102" t="s">
        <v>42</v>
      </c>
      <c r="E114" s="261" t="s">
        <v>192</v>
      </c>
      <c r="F114" s="261" t="s">
        <v>193</v>
      </c>
      <c r="G114" s="261" t="s">
        <v>194</v>
      </c>
      <c r="H114" s="261" t="s">
        <v>195</v>
      </c>
      <c r="I114" s="261" t="s">
        <v>196</v>
      </c>
      <c r="J114" s="261" t="s">
        <v>197</v>
      </c>
      <c r="K114" s="261" t="s">
        <v>198</v>
      </c>
      <c r="L114" s="261" t="s">
        <v>199</v>
      </c>
      <c r="M114" s="261" t="s">
        <v>200</v>
      </c>
      <c r="N114" s="261" t="s">
        <v>201</v>
      </c>
      <c r="O114" s="261" t="s">
        <v>202</v>
      </c>
      <c r="P114" s="261" t="s">
        <v>203</v>
      </c>
      <c r="Q114" s="261"/>
      <c r="R114" s="1237" t="s">
        <v>925</v>
      </c>
      <c r="S114" s="1240" t="s">
        <v>206</v>
      </c>
    </row>
    <row r="115" spans="1:19" ht="12.75" customHeight="1">
      <c r="A115" s="322" t="str">
        <f>B115&amp;"_"&amp;R115</f>
        <v>PPI - Gas Dist._FCA9</v>
      </c>
      <c r="B115" s="315" t="s">
        <v>218</v>
      </c>
      <c r="C115" s="1179">
        <f>IFERROR(S115, NA())</f>
        <v>112.35833333333333</v>
      </c>
      <c r="D115" s="102">
        <v>2012</v>
      </c>
      <c r="E115" s="281">
        <v>112.6</v>
      </c>
      <c r="F115" s="281">
        <v>110</v>
      </c>
      <c r="G115" s="281">
        <v>109.4</v>
      </c>
      <c r="H115" s="281">
        <v>105.1</v>
      </c>
      <c r="I115" s="281">
        <v>101.3</v>
      </c>
      <c r="J115" s="281">
        <v>104.3</v>
      </c>
      <c r="K115" s="281">
        <v>106.1</v>
      </c>
      <c r="L115" s="281">
        <v>107.1</v>
      </c>
      <c r="M115" s="281">
        <v>105.4</v>
      </c>
      <c r="N115" s="281">
        <v>106.8</v>
      </c>
      <c r="O115" s="281">
        <v>111.4</v>
      </c>
      <c r="P115" s="281">
        <v>112.8</v>
      </c>
      <c r="Q115" s="281"/>
      <c r="R115" s="1238" t="s">
        <v>894</v>
      </c>
      <c r="S115" s="1241">
        <f>AVERAGE($L$115:$P$115,$E$116:$K$116)</f>
        <v>112.35833333333333</v>
      </c>
    </row>
    <row r="116" spans="1:19" ht="12.75" customHeight="1">
      <c r="A116" s="322" t="str">
        <f>B116&amp;"_"&amp;R116</f>
        <v>PPI - Gas Dist._FCA10</v>
      </c>
      <c r="B116" s="315" t="s">
        <v>218</v>
      </c>
      <c r="C116" s="1179">
        <f>IFERROR(S116, NA())</f>
        <v>120</v>
      </c>
      <c r="D116" s="102">
        <v>2013</v>
      </c>
      <c r="E116" s="1185">
        <v>112.3</v>
      </c>
      <c r="F116" s="1185">
        <v>112.6</v>
      </c>
      <c r="G116" s="1185">
        <v>111.8</v>
      </c>
      <c r="H116" s="1185">
        <v>114.2</v>
      </c>
      <c r="I116" s="1185">
        <v>116.5</v>
      </c>
      <c r="J116" s="1185">
        <v>119.3</v>
      </c>
      <c r="K116" s="1185">
        <v>118.1</v>
      </c>
      <c r="L116" s="1181">
        <v>120</v>
      </c>
      <c r="M116" s="1181">
        <v>120</v>
      </c>
      <c r="N116" s="1181">
        <v>120</v>
      </c>
      <c r="O116" s="1181">
        <v>120</v>
      </c>
      <c r="P116" s="1181">
        <v>120</v>
      </c>
      <c r="Q116" s="1185"/>
      <c r="R116" s="1243" t="s">
        <v>895</v>
      </c>
      <c r="S116" s="1244">
        <f>AVERAGE($L$116:$P$116,$E$117:$K$117)</f>
        <v>120</v>
      </c>
    </row>
    <row r="117" spans="1:19" ht="12.75" customHeight="1" thickBot="1">
      <c r="A117" s="322" t="str">
        <f>B117&amp;"_"&amp;R117</f>
        <v>PPI - Gas Dist._FCA11</v>
      </c>
      <c r="B117" s="315" t="s">
        <v>218</v>
      </c>
      <c r="C117" s="1179">
        <f>IFERROR(S117, NA())</f>
        <v>125</v>
      </c>
      <c r="D117" s="102">
        <v>2014</v>
      </c>
      <c r="E117" s="1181">
        <v>120</v>
      </c>
      <c r="F117" s="1181">
        <v>120</v>
      </c>
      <c r="G117" s="1181">
        <v>120</v>
      </c>
      <c r="H117" s="1181">
        <v>120</v>
      </c>
      <c r="I117" s="1181">
        <v>120</v>
      </c>
      <c r="J117" s="1181">
        <v>120</v>
      </c>
      <c r="K117" s="1181">
        <v>120</v>
      </c>
      <c r="L117" s="1181">
        <v>125</v>
      </c>
      <c r="M117" s="1181">
        <v>125</v>
      </c>
      <c r="N117" s="1181">
        <v>125</v>
      </c>
      <c r="O117" s="1181">
        <v>125</v>
      </c>
      <c r="P117" s="1181">
        <v>125</v>
      </c>
      <c r="Q117" s="1185"/>
      <c r="R117" s="1239" t="s">
        <v>896</v>
      </c>
      <c r="S117" s="1242">
        <f>AVERAGE($L$117:$P$117,$E$118:$K$118)</f>
        <v>125</v>
      </c>
    </row>
    <row r="118" spans="1:19" ht="12.75" customHeight="1">
      <c r="A118" s="322"/>
      <c r="C118" s="1179"/>
      <c r="D118" s="102">
        <v>2015</v>
      </c>
      <c r="E118" s="1181">
        <v>125</v>
      </c>
      <c r="F118" s="1181">
        <v>125</v>
      </c>
      <c r="G118" s="1181">
        <v>125</v>
      </c>
      <c r="H118" s="1181">
        <v>125</v>
      </c>
      <c r="I118" s="1181">
        <v>125</v>
      </c>
      <c r="J118" s="1181">
        <v>125</v>
      </c>
      <c r="K118" s="1181">
        <v>125</v>
      </c>
      <c r="L118" s="1175"/>
      <c r="M118" s="1175"/>
      <c r="N118" s="1175"/>
      <c r="O118" s="1175"/>
      <c r="P118" s="1175"/>
      <c r="Q118" s="281"/>
      <c r="S118" s="282"/>
    </row>
    <row r="119" spans="1:19" ht="12.75" customHeight="1"/>
    <row r="120" spans="1:19" s="130" customFormat="1" ht="12.75" customHeight="1">
      <c r="A120" s="320"/>
      <c r="B120" s="320"/>
      <c r="C120" s="1177"/>
      <c r="D120" s="86" t="s">
        <v>112</v>
      </c>
      <c r="E120" s="127"/>
      <c r="F120" s="127"/>
      <c r="G120" s="127"/>
      <c r="H120" s="127"/>
      <c r="I120" s="127"/>
      <c r="J120" s="127"/>
      <c r="K120" s="127"/>
      <c r="L120" s="127"/>
      <c r="M120" s="127"/>
      <c r="N120" s="127"/>
      <c r="O120" s="127"/>
      <c r="P120" s="127"/>
      <c r="Q120" s="127"/>
      <c r="R120" s="1189"/>
      <c r="S120" s="127"/>
    </row>
    <row r="121" spans="1:19" ht="12.75" customHeight="1">
      <c r="D121" s="95" t="s">
        <v>39</v>
      </c>
      <c r="E121" s="278" t="s">
        <v>942</v>
      </c>
    </row>
    <row r="122" spans="1:19" ht="12.75" customHeight="1">
      <c r="D122" s="95" t="s">
        <v>937</v>
      </c>
      <c r="E122" s="278" t="s">
        <v>936</v>
      </c>
    </row>
    <row r="123" spans="1:19" ht="12.75" customHeight="1">
      <c r="D123" s="95" t="s">
        <v>938</v>
      </c>
      <c r="E123" s="278" t="s">
        <v>947</v>
      </c>
    </row>
    <row r="124" spans="1:19" ht="12.75" customHeight="1">
      <c r="D124" s="95" t="s">
        <v>941</v>
      </c>
      <c r="E124" s="278" t="s">
        <v>948</v>
      </c>
    </row>
    <row r="125" spans="1:19" ht="12.75" customHeight="1">
      <c r="D125" s="95" t="s">
        <v>873</v>
      </c>
      <c r="E125" s="278" t="s">
        <v>878</v>
      </c>
    </row>
    <row r="126" spans="1:19" ht="12.75" customHeight="1">
      <c r="D126" s="95" t="s">
        <v>94</v>
      </c>
      <c r="E126" s="1221" t="s">
        <v>875</v>
      </c>
    </row>
    <row r="127" spans="1:19" ht="12.75" customHeight="1">
      <c r="D127" s="95" t="s">
        <v>191</v>
      </c>
      <c r="E127" s="1142">
        <v>41514</v>
      </c>
    </row>
    <row r="128" spans="1:19" ht="12.75" customHeight="1" thickBot="1"/>
    <row r="129" spans="1:19" ht="12.75" customHeight="1">
      <c r="D129" s="102" t="s">
        <v>42</v>
      </c>
      <c r="E129" s="261" t="s">
        <v>192</v>
      </c>
      <c r="F129" s="261" t="s">
        <v>193</v>
      </c>
      <c r="G129" s="261" t="s">
        <v>194</v>
      </c>
      <c r="H129" s="261" t="s">
        <v>195</v>
      </c>
      <c r="I129" s="261" t="s">
        <v>196</v>
      </c>
      <c r="J129" s="261" t="s">
        <v>197</v>
      </c>
      <c r="K129" s="261" t="s">
        <v>198</v>
      </c>
      <c r="L129" s="261" t="s">
        <v>199</v>
      </c>
      <c r="M129" s="261" t="s">
        <v>200</v>
      </c>
      <c r="N129" s="261" t="s">
        <v>201</v>
      </c>
      <c r="O129" s="261" t="s">
        <v>202</v>
      </c>
      <c r="P129" s="261" t="s">
        <v>203</v>
      </c>
      <c r="Q129" s="261"/>
      <c r="R129" s="1237" t="s">
        <v>925</v>
      </c>
      <c r="S129" s="1240" t="s">
        <v>206</v>
      </c>
    </row>
    <row r="130" spans="1:19" ht="12.75" customHeight="1">
      <c r="A130" s="322" t="str">
        <f>B130&amp;"_"&amp;R130</f>
        <v>PPI Turbines_FCA9</v>
      </c>
      <c r="B130" s="315" t="s">
        <v>125</v>
      </c>
      <c r="C130" s="1179">
        <f>IFERROR(S130, NA())</f>
        <v>225.88333333333335</v>
      </c>
      <c r="D130" s="102">
        <v>2012</v>
      </c>
      <c r="E130" s="1184">
        <v>218.9</v>
      </c>
      <c r="F130" s="1184">
        <v>220</v>
      </c>
      <c r="G130" s="1184">
        <v>222.1</v>
      </c>
      <c r="H130" s="1184">
        <v>222.3</v>
      </c>
      <c r="I130" s="1184">
        <v>224.3</v>
      </c>
      <c r="J130" s="1184">
        <v>225.2</v>
      </c>
      <c r="K130" s="1184">
        <v>225.4</v>
      </c>
      <c r="L130" s="1184">
        <v>224.4</v>
      </c>
      <c r="M130" s="1184">
        <v>222.9</v>
      </c>
      <c r="N130" s="1184">
        <v>225.1</v>
      </c>
      <c r="O130" s="1184">
        <v>226.2</v>
      </c>
      <c r="P130" s="1184">
        <v>225.7</v>
      </c>
      <c r="Q130" s="1184"/>
      <c r="R130" s="1238" t="s">
        <v>894</v>
      </c>
      <c r="S130" s="1241">
        <f>AVERAGE($L$130:$P$130,$E$131:$K$131)</f>
        <v>225.88333333333335</v>
      </c>
    </row>
    <row r="131" spans="1:19" ht="12.75" customHeight="1">
      <c r="A131" s="322" t="str">
        <f>B131&amp;"_"&amp;R131</f>
        <v>PPI Turbines_FCA10</v>
      </c>
      <c r="B131" s="315" t="s">
        <v>125</v>
      </c>
      <c r="C131" s="1179">
        <f>IFERROR(S131, NA())</f>
        <v>230</v>
      </c>
      <c r="D131" s="102">
        <v>2013</v>
      </c>
      <c r="E131" s="1185">
        <v>225.4</v>
      </c>
      <c r="F131" s="1185">
        <v>225.4</v>
      </c>
      <c r="G131" s="1185">
        <v>226.3</v>
      </c>
      <c r="H131" s="1185">
        <v>226.6</v>
      </c>
      <c r="I131" s="1185">
        <v>228</v>
      </c>
      <c r="J131" s="1185">
        <v>227.3</v>
      </c>
      <c r="K131" s="1185">
        <v>227.3</v>
      </c>
      <c r="L131" s="1181">
        <v>230</v>
      </c>
      <c r="M131" s="1181">
        <v>230</v>
      </c>
      <c r="N131" s="1181">
        <v>230</v>
      </c>
      <c r="O131" s="1181">
        <v>230</v>
      </c>
      <c r="P131" s="1181">
        <v>230</v>
      </c>
      <c r="Q131" s="1185"/>
      <c r="R131" s="1243" t="s">
        <v>895</v>
      </c>
      <c r="S131" s="1244">
        <f>AVERAGE($L$131:$P$131,$E$132:$K$132)</f>
        <v>230</v>
      </c>
    </row>
    <row r="132" spans="1:19" ht="12.75" customHeight="1" thickBot="1">
      <c r="A132" s="322" t="str">
        <f>B132&amp;"_"&amp;R132</f>
        <v>PPI Turbines_FCA11</v>
      </c>
      <c r="B132" s="315" t="s">
        <v>125</v>
      </c>
      <c r="C132" s="1179">
        <f>IFERROR(S132, NA())</f>
        <v>235</v>
      </c>
      <c r="D132" s="102">
        <v>2014</v>
      </c>
      <c r="E132" s="1181">
        <v>230</v>
      </c>
      <c r="F132" s="1181">
        <v>230</v>
      </c>
      <c r="G132" s="1181">
        <v>230</v>
      </c>
      <c r="H132" s="1181">
        <v>230</v>
      </c>
      <c r="I132" s="1181">
        <v>230</v>
      </c>
      <c r="J132" s="1181">
        <v>230</v>
      </c>
      <c r="K132" s="1181">
        <v>230</v>
      </c>
      <c r="L132" s="1181">
        <v>235</v>
      </c>
      <c r="M132" s="1181">
        <v>235</v>
      </c>
      <c r="N132" s="1181">
        <v>235</v>
      </c>
      <c r="O132" s="1181">
        <v>235</v>
      </c>
      <c r="P132" s="1181">
        <v>235</v>
      </c>
      <c r="Q132" s="1185"/>
      <c r="R132" s="1239" t="s">
        <v>896</v>
      </c>
      <c r="S132" s="1242">
        <f>AVERAGE($L$132:$P$132,$E$133:$K$133)</f>
        <v>235</v>
      </c>
    </row>
    <row r="133" spans="1:19" ht="12.75" customHeight="1">
      <c r="A133" s="322"/>
      <c r="C133" s="1179"/>
      <c r="D133" s="102">
        <v>2015</v>
      </c>
      <c r="E133" s="1181">
        <v>235</v>
      </c>
      <c r="F133" s="1181">
        <v>235</v>
      </c>
      <c r="G133" s="1181">
        <v>235</v>
      </c>
      <c r="H133" s="1181">
        <v>235</v>
      </c>
      <c r="I133" s="1181">
        <v>235</v>
      </c>
      <c r="J133" s="1181">
        <v>235</v>
      </c>
      <c r="K133" s="1181">
        <v>235</v>
      </c>
      <c r="L133" s="1181"/>
      <c r="M133" s="1181"/>
      <c r="N133" s="1181"/>
      <c r="O133" s="1181"/>
      <c r="P133" s="1181"/>
      <c r="Q133" s="1185"/>
      <c r="S133" s="282"/>
    </row>
    <row r="134" spans="1:19" ht="12.75" customHeight="1">
      <c r="D134" s="280"/>
      <c r="E134" s="281"/>
      <c r="F134" s="281"/>
      <c r="G134" s="281"/>
      <c r="H134" s="281"/>
      <c r="I134" s="281"/>
      <c r="J134" s="281"/>
      <c r="K134" s="281"/>
      <c r="L134" s="281"/>
      <c r="M134" s="281"/>
      <c r="N134" s="281"/>
      <c r="O134" s="281"/>
      <c r="P134" s="281"/>
      <c r="Q134" s="281"/>
      <c r="S134" s="282"/>
    </row>
    <row r="135" spans="1:19" s="130" customFormat="1" ht="12.75" customHeight="1">
      <c r="A135" s="320"/>
      <c r="B135" s="320"/>
      <c r="C135" s="1177"/>
      <c r="D135" s="86" t="s">
        <v>97</v>
      </c>
      <c r="E135" s="127"/>
      <c r="F135" s="127"/>
      <c r="G135" s="127"/>
      <c r="H135" s="127"/>
      <c r="I135" s="127"/>
      <c r="J135" s="127"/>
      <c r="K135" s="127"/>
      <c r="L135" s="127"/>
      <c r="M135" s="127"/>
      <c r="N135" s="127"/>
      <c r="O135" s="127"/>
      <c r="P135" s="127"/>
      <c r="Q135" s="127"/>
      <c r="R135" s="1189"/>
      <c r="S135" s="127"/>
    </row>
    <row r="136" spans="1:19" ht="12.75" customHeight="1">
      <c r="D136" s="95" t="s">
        <v>39</v>
      </c>
      <c r="E136" s="126" t="s">
        <v>99</v>
      </c>
    </row>
    <row r="137" spans="1:19" ht="12.75" customHeight="1">
      <c r="D137" s="95" t="s">
        <v>873</v>
      </c>
      <c r="E137" s="126" t="s">
        <v>874</v>
      </c>
    </row>
    <row r="138" spans="1:19" ht="12.75" customHeight="1">
      <c r="D138" s="95" t="s">
        <v>95</v>
      </c>
      <c r="E138" s="1173">
        <v>41508</v>
      </c>
    </row>
    <row r="139" spans="1:19" ht="12.75" customHeight="1" thickBot="1"/>
    <row r="140" spans="1:19" ht="12.75" customHeight="1">
      <c r="D140" s="102" t="s">
        <v>42</v>
      </c>
      <c r="E140" s="261" t="s">
        <v>197</v>
      </c>
      <c r="F140" s="261" t="s">
        <v>203</v>
      </c>
      <c r="G140" s="261"/>
      <c r="H140" s="261"/>
      <c r="I140" s="261"/>
      <c r="J140" s="261"/>
      <c r="K140" s="261"/>
      <c r="L140" s="261"/>
      <c r="M140" s="261"/>
      <c r="N140" s="261"/>
      <c r="O140" s="261"/>
      <c r="P140" s="261"/>
      <c r="Q140" s="261"/>
      <c r="R140" s="1237" t="s">
        <v>925</v>
      </c>
      <c r="S140" s="1240" t="s">
        <v>206</v>
      </c>
    </row>
    <row r="141" spans="1:19" ht="12.75" customHeight="1">
      <c r="A141" s="322" t="str">
        <f>B141&amp;"_"&amp;R141</f>
        <v>Bloomberg Wind_FCA9</v>
      </c>
      <c r="B141" s="315" t="s">
        <v>221</v>
      </c>
      <c r="C141" s="1183">
        <f>IFERROR(S141, NA())</f>
        <v>1.21</v>
      </c>
      <c r="D141" s="102">
        <v>2012</v>
      </c>
      <c r="E141" s="126">
        <v>1.19</v>
      </c>
      <c r="F141" s="126">
        <v>1.24</v>
      </c>
      <c r="H141" s="261"/>
      <c r="I141" s="261"/>
      <c r="J141" s="261"/>
      <c r="K141" s="261"/>
      <c r="L141" s="261"/>
      <c r="M141" s="261"/>
      <c r="N141" s="261"/>
      <c r="O141" s="261"/>
      <c r="P141" s="261"/>
      <c r="Q141" s="261"/>
      <c r="R141" s="1238" t="s">
        <v>894</v>
      </c>
      <c r="S141" s="1245">
        <f>AVERAGE(F141,E142)</f>
        <v>1.21</v>
      </c>
    </row>
    <row r="142" spans="1:19" ht="12.75" customHeight="1">
      <c r="A142" s="322" t="str">
        <f>B142&amp;"_"&amp;R142</f>
        <v>Bloomberg Wind_FCA10</v>
      </c>
      <c r="B142" s="315" t="s">
        <v>221</v>
      </c>
      <c r="C142" s="1183">
        <f>IFERROR(S142, NA())</f>
        <v>1.0750000000000002</v>
      </c>
      <c r="D142" s="102">
        <v>2013</v>
      </c>
      <c r="E142" s="1187">
        <v>1.18</v>
      </c>
      <c r="F142" s="1182">
        <v>1.1000000000000001</v>
      </c>
      <c r="H142" s="281"/>
      <c r="I142" s="281"/>
      <c r="J142" s="281"/>
      <c r="K142" s="281"/>
      <c r="L142" s="281"/>
      <c r="M142" s="281"/>
      <c r="N142" s="281"/>
      <c r="O142" s="281"/>
      <c r="P142" s="281"/>
      <c r="Q142" s="281"/>
      <c r="R142" s="1243" t="s">
        <v>895</v>
      </c>
      <c r="S142" s="1246">
        <f>AVERAGE(F142,E143)</f>
        <v>1.0750000000000002</v>
      </c>
    </row>
    <row r="143" spans="1:19" ht="12.75" customHeight="1" thickBot="1">
      <c r="A143" s="322" t="str">
        <f>B143&amp;"_"&amp;R143</f>
        <v>Bloomberg Wind_FCA11</v>
      </c>
      <c r="B143" s="315" t="s">
        <v>221</v>
      </c>
      <c r="C143" s="1183">
        <f>IFERROR(S143, NA())</f>
        <v>0.97499999999999998</v>
      </c>
      <c r="D143" s="102">
        <v>2014</v>
      </c>
      <c r="E143" s="1188">
        <v>1.05</v>
      </c>
      <c r="F143" s="1182">
        <v>1</v>
      </c>
      <c r="H143" s="281"/>
      <c r="I143" s="281"/>
      <c r="J143" s="281"/>
      <c r="K143" s="281"/>
      <c r="L143" s="281"/>
      <c r="M143" s="281"/>
      <c r="N143" s="281"/>
      <c r="O143" s="281"/>
      <c r="P143" s="281"/>
      <c r="Q143" s="281"/>
      <c r="R143" s="1239" t="s">
        <v>896</v>
      </c>
      <c r="S143" s="1247">
        <f>AVERAGE(F143,E144)</f>
        <v>0.97499999999999998</v>
      </c>
    </row>
    <row r="144" spans="1:19" ht="12.75" customHeight="1">
      <c r="A144" s="322"/>
      <c r="C144" s="1179"/>
      <c r="D144" s="102">
        <v>2015</v>
      </c>
      <c r="E144" s="1188">
        <v>0.95</v>
      </c>
      <c r="F144" s="281"/>
      <c r="H144" s="281"/>
      <c r="I144" s="281"/>
      <c r="J144" s="281"/>
      <c r="K144" s="281"/>
      <c r="L144" s="281"/>
      <c r="M144" s="281"/>
      <c r="N144" s="281"/>
      <c r="O144" s="281"/>
      <c r="P144" s="281"/>
      <c r="Q144" s="281"/>
      <c r="S144" s="282"/>
    </row>
    <row r="145" spans="1:19" ht="12.75" customHeight="1"/>
    <row r="146" spans="1:19" s="130" customFormat="1" ht="12.75" customHeight="1">
      <c r="A146" s="320"/>
      <c r="B146" s="320"/>
      <c r="C146" s="1177"/>
      <c r="D146" s="1119" t="s">
        <v>98</v>
      </c>
      <c r="E146" s="1120"/>
      <c r="F146" s="1120"/>
      <c r="G146" s="1120"/>
      <c r="H146" s="1120"/>
      <c r="I146" s="1120"/>
      <c r="J146" s="1120"/>
      <c r="K146" s="1120"/>
      <c r="L146" s="1120"/>
      <c r="M146" s="1120"/>
      <c r="N146" s="1120"/>
      <c r="O146" s="1120"/>
      <c r="P146" s="1120"/>
      <c r="Q146" s="1120"/>
      <c r="R146" s="1189"/>
      <c r="S146" s="127"/>
    </row>
    <row r="147" spans="1:19" ht="12.75" customHeight="1">
      <c r="D147" s="95" t="s">
        <v>39</v>
      </c>
      <c r="E147" s="278" t="s">
        <v>942</v>
      </c>
    </row>
    <row r="148" spans="1:19" ht="12.75" customHeight="1">
      <c r="D148" s="95" t="s">
        <v>937</v>
      </c>
      <c r="E148" s="278" t="s">
        <v>936</v>
      </c>
    </row>
    <row r="149" spans="1:19" ht="12.75" customHeight="1">
      <c r="D149" s="95" t="s">
        <v>938</v>
      </c>
      <c r="E149" s="278" t="s">
        <v>947</v>
      </c>
    </row>
    <row r="150" spans="1:19" ht="12.75" customHeight="1">
      <c r="D150" s="95" t="s">
        <v>941</v>
      </c>
      <c r="E150" s="278" t="s">
        <v>949</v>
      </c>
    </row>
    <row r="151" spans="1:19" ht="12.75" customHeight="1">
      <c r="D151" s="95" t="s">
        <v>873</v>
      </c>
      <c r="E151" s="278" t="s">
        <v>879</v>
      </c>
    </row>
    <row r="152" spans="1:19" ht="12.75" customHeight="1">
      <c r="D152" s="95" t="s">
        <v>94</v>
      </c>
      <c r="E152" s="1251" t="s">
        <v>877</v>
      </c>
    </row>
    <row r="153" spans="1:19" ht="12.75" customHeight="1">
      <c r="D153" s="95" t="s">
        <v>191</v>
      </c>
      <c r="E153" s="1142">
        <v>41514</v>
      </c>
    </row>
    <row r="154" spans="1:19" ht="12.75" customHeight="1" thickBot="1"/>
    <row r="155" spans="1:19" ht="12.75" customHeight="1">
      <c r="D155" s="102" t="s">
        <v>42</v>
      </c>
      <c r="E155" s="261" t="s">
        <v>192</v>
      </c>
      <c r="F155" s="261" t="s">
        <v>193</v>
      </c>
      <c r="G155" s="261" t="s">
        <v>194</v>
      </c>
      <c r="H155" s="261" t="s">
        <v>195</v>
      </c>
      <c r="I155" s="261" t="s">
        <v>196</v>
      </c>
      <c r="J155" s="261" t="s">
        <v>197</v>
      </c>
      <c r="K155" s="261" t="s">
        <v>198</v>
      </c>
      <c r="L155" s="261" t="s">
        <v>199</v>
      </c>
      <c r="M155" s="261" t="s">
        <v>200</v>
      </c>
      <c r="N155" s="261" t="s">
        <v>201</v>
      </c>
      <c r="O155" s="261" t="s">
        <v>202</v>
      </c>
      <c r="P155" s="261" t="s">
        <v>203</v>
      </c>
      <c r="Q155" s="261"/>
      <c r="R155" s="1237" t="s">
        <v>925</v>
      </c>
      <c r="S155" s="1240" t="s">
        <v>206</v>
      </c>
    </row>
    <row r="156" spans="1:19" ht="12.75" customHeight="1">
      <c r="A156" s="322" t="str">
        <f>B156&amp;"_"&amp;R156</f>
        <v>PPI Equipment_FCA9</v>
      </c>
      <c r="B156" s="315" t="s">
        <v>126</v>
      </c>
      <c r="C156" s="1179">
        <f>IFERROR(S156, NA())</f>
        <v>216.5916666666667</v>
      </c>
      <c r="D156" s="102">
        <v>2012</v>
      </c>
      <c r="E156" s="261">
        <v>211.1</v>
      </c>
      <c r="F156" s="261">
        <v>212.8</v>
      </c>
      <c r="G156" s="261">
        <v>213</v>
      </c>
      <c r="H156" s="261">
        <v>213.4</v>
      </c>
      <c r="I156" s="261">
        <v>213.5</v>
      </c>
      <c r="J156" s="261">
        <v>213.8</v>
      </c>
      <c r="K156" s="261">
        <v>214.1</v>
      </c>
      <c r="L156" s="261">
        <v>214.6</v>
      </c>
      <c r="M156" s="261">
        <v>214.6</v>
      </c>
      <c r="N156" s="261">
        <v>214.8</v>
      </c>
      <c r="O156" s="261">
        <v>215.1</v>
      </c>
      <c r="P156" s="261">
        <v>215.7</v>
      </c>
      <c r="Q156" s="261"/>
      <c r="R156" s="1238" t="s">
        <v>894</v>
      </c>
      <c r="S156" s="1241">
        <f>AVERAGE(L156:P156,E157:K157)</f>
        <v>216.5916666666667</v>
      </c>
    </row>
    <row r="157" spans="1:19" ht="12.75" customHeight="1">
      <c r="A157" s="322" t="str">
        <f>B157&amp;"_"&amp;R157</f>
        <v>PPI Equipment_FCA10</v>
      </c>
      <c r="B157" s="315" t="s">
        <v>126</v>
      </c>
      <c r="C157" s="1179">
        <f>IFERROR(S157, NA())</f>
        <v>220</v>
      </c>
      <c r="D157" s="102">
        <v>2013</v>
      </c>
      <c r="E157" s="281">
        <v>216.4</v>
      </c>
      <c r="F157" s="281">
        <v>217.3</v>
      </c>
      <c r="G157" s="281">
        <v>217.9</v>
      </c>
      <c r="H157" s="281">
        <v>217.9</v>
      </c>
      <c r="I157" s="281">
        <v>218.4</v>
      </c>
      <c r="J157" s="281">
        <v>218</v>
      </c>
      <c r="K157" s="281">
        <v>218.4</v>
      </c>
      <c r="L157" s="1181">
        <v>220</v>
      </c>
      <c r="M157" s="1181">
        <v>220</v>
      </c>
      <c r="N157" s="1181">
        <v>220</v>
      </c>
      <c r="O157" s="1181">
        <v>220</v>
      </c>
      <c r="P157" s="1181">
        <v>220</v>
      </c>
      <c r="Q157" s="1185"/>
      <c r="R157" s="1243" t="s">
        <v>895</v>
      </c>
      <c r="S157" s="1244">
        <f>AVERAGE(L157:P157,E158:K158)</f>
        <v>220</v>
      </c>
    </row>
    <row r="158" spans="1:19" ht="12.75" customHeight="1" thickBot="1">
      <c r="A158" s="322" t="str">
        <f>B158&amp;"_"&amp;R158</f>
        <v>PPI Equipment_FCA11</v>
      </c>
      <c r="B158" s="315" t="s">
        <v>126</v>
      </c>
      <c r="C158" s="1179">
        <f>IFERROR(S158, NA())</f>
        <v>230</v>
      </c>
      <c r="D158" s="102">
        <v>2014</v>
      </c>
      <c r="E158" s="1181">
        <v>220</v>
      </c>
      <c r="F158" s="1181">
        <v>220</v>
      </c>
      <c r="G158" s="1181">
        <v>220</v>
      </c>
      <c r="H158" s="1181">
        <v>220</v>
      </c>
      <c r="I158" s="1181">
        <v>220</v>
      </c>
      <c r="J158" s="1181">
        <v>220</v>
      </c>
      <c r="K158" s="1181">
        <v>220</v>
      </c>
      <c r="L158" s="1181">
        <v>230</v>
      </c>
      <c r="M158" s="1181">
        <v>230</v>
      </c>
      <c r="N158" s="1181">
        <v>230</v>
      </c>
      <c r="O158" s="1181">
        <v>230</v>
      </c>
      <c r="P158" s="1181">
        <v>230</v>
      </c>
      <c r="Q158" s="1185"/>
      <c r="R158" s="1239" t="s">
        <v>896</v>
      </c>
      <c r="S158" s="1242">
        <f>AVERAGE(L158:P158,E159:K159)</f>
        <v>230</v>
      </c>
    </row>
    <row r="159" spans="1:19" ht="12.75" customHeight="1">
      <c r="A159" s="322"/>
      <c r="C159" s="1179"/>
      <c r="D159" s="102">
        <v>2015</v>
      </c>
      <c r="E159" s="1181">
        <v>230</v>
      </c>
      <c r="F159" s="1181">
        <v>230</v>
      </c>
      <c r="G159" s="1181">
        <v>230</v>
      </c>
      <c r="H159" s="1181">
        <v>230</v>
      </c>
      <c r="I159" s="1181">
        <v>230</v>
      </c>
      <c r="J159" s="1181">
        <v>230</v>
      </c>
      <c r="K159" s="1181">
        <v>230</v>
      </c>
      <c r="L159" s="281"/>
      <c r="M159" s="281"/>
      <c r="N159" s="281"/>
      <c r="O159" s="281"/>
      <c r="P159" s="281"/>
      <c r="Q159" s="281"/>
      <c r="S159" s="282"/>
    </row>
    <row r="160" spans="1:19" ht="12.75" customHeight="1"/>
    <row r="161" spans="1:19" s="130" customFormat="1" ht="12.75" customHeight="1">
      <c r="A161" s="320"/>
      <c r="B161" s="320"/>
      <c r="C161" s="1177"/>
      <c r="D161" s="86" t="s">
        <v>850</v>
      </c>
      <c r="E161" s="127"/>
      <c r="F161" s="127"/>
      <c r="G161" s="127"/>
      <c r="H161" s="127"/>
      <c r="I161" s="127"/>
      <c r="J161" s="127"/>
      <c r="K161" s="127"/>
      <c r="L161" s="127"/>
      <c r="M161" s="127"/>
      <c r="N161" s="127"/>
      <c r="O161" s="127"/>
      <c r="P161" s="127"/>
      <c r="Q161" s="127"/>
      <c r="R161" s="1189"/>
      <c r="S161" s="127"/>
    </row>
    <row r="162" spans="1:19" ht="12.75" customHeight="1">
      <c r="D162" s="95" t="s">
        <v>39</v>
      </c>
      <c r="E162" s="126" t="s">
        <v>883</v>
      </c>
    </row>
    <row r="163" spans="1:19" ht="12.75" customHeight="1">
      <c r="D163" s="95" t="s">
        <v>94</v>
      </c>
      <c r="E163" s="1251" t="s">
        <v>886</v>
      </c>
    </row>
    <row r="164" spans="1:19" ht="12.75" customHeight="1">
      <c r="D164" s="95" t="s">
        <v>95</v>
      </c>
      <c r="E164" s="1142">
        <v>41514</v>
      </c>
    </row>
    <row r="165" spans="1:19" ht="12.75" customHeight="1" thickBot="1"/>
    <row r="166" spans="1:19" ht="12.75" customHeight="1">
      <c r="D166" s="102" t="s">
        <v>42</v>
      </c>
      <c r="E166" s="261" t="s">
        <v>192</v>
      </c>
      <c r="F166" s="261" t="s">
        <v>195</v>
      </c>
      <c r="G166" s="261" t="s">
        <v>197</v>
      </c>
      <c r="H166" s="261" t="s">
        <v>203</v>
      </c>
      <c r="R166" s="1237" t="s">
        <v>925</v>
      </c>
      <c r="S166" s="1240" t="s">
        <v>206</v>
      </c>
    </row>
    <row r="167" spans="1:19" ht="12.75" customHeight="1">
      <c r="A167" s="322" t="str">
        <f>B167&amp;"_"&amp;R167</f>
        <v>GDPD_FCA9</v>
      </c>
      <c r="B167" s="315" t="s">
        <v>134</v>
      </c>
      <c r="C167" s="1179">
        <f>IFERROR(S167, NA())</f>
        <v>105.83925000000001</v>
      </c>
      <c r="D167" s="102">
        <v>2012</v>
      </c>
      <c r="E167" s="1252">
        <v>104.291</v>
      </c>
      <c r="F167" s="1252">
        <v>104.75</v>
      </c>
      <c r="G167" s="1252">
        <v>105.292</v>
      </c>
      <c r="H167" s="1252">
        <v>105.667</v>
      </c>
      <c r="R167" s="1238" t="s">
        <v>894</v>
      </c>
      <c r="S167" s="1241">
        <f>AVERAGE(G167:H167,E168:F168)</f>
        <v>105.83925000000001</v>
      </c>
    </row>
    <row r="168" spans="1:19" ht="12.75" customHeight="1">
      <c r="A168" s="322" t="str">
        <f>B168&amp;"_"&amp;R168</f>
        <v>GDPD_FCA10</v>
      </c>
      <c r="B168" s="315" t="s">
        <v>134</v>
      </c>
      <c r="C168" s="1179">
        <f>IFERROR(S168, NA())</f>
        <v>107</v>
      </c>
      <c r="D168" s="102">
        <v>2013</v>
      </c>
      <c r="E168" s="1252">
        <v>106.105</v>
      </c>
      <c r="F168" s="1252">
        <v>106.29300000000001</v>
      </c>
      <c r="G168" s="1253">
        <v>107</v>
      </c>
      <c r="H168" s="1253">
        <v>107</v>
      </c>
      <c r="R168" s="1243" t="s">
        <v>895</v>
      </c>
      <c r="S168" s="1244">
        <f>AVERAGE(G168:H168,E169:F169)</f>
        <v>107</v>
      </c>
    </row>
    <row r="169" spans="1:19" ht="12.75" customHeight="1" thickBot="1">
      <c r="A169" s="322" t="str">
        <f>B169&amp;"_"&amp;R169</f>
        <v>GDPD_FCA11</v>
      </c>
      <c r="B169" s="315" t="s">
        <v>134</v>
      </c>
      <c r="C169" s="1179">
        <f>IFERROR(S169, NA())</f>
        <v>108</v>
      </c>
      <c r="D169" s="102">
        <v>2014</v>
      </c>
      <c r="E169" s="1253">
        <v>107</v>
      </c>
      <c r="F169" s="1253">
        <v>107</v>
      </c>
      <c r="G169" s="1253">
        <v>108</v>
      </c>
      <c r="H169" s="1253">
        <v>108</v>
      </c>
      <c r="R169" s="1239" t="s">
        <v>896</v>
      </c>
      <c r="S169" s="1242">
        <f>AVERAGE(G169:H169,E170:F170)</f>
        <v>108</v>
      </c>
    </row>
    <row r="170" spans="1:19" ht="12.75" customHeight="1">
      <c r="A170" s="322"/>
      <c r="C170" s="1179"/>
      <c r="D170" s="102">
        <v>2015</v>
      </c>
      <c r="E170" s="1253">
        <v>108</v>
      </c>
      <c r="F170" s="1253">
        <v>108</v>
      </c>
      <c r="S170" s="282"/>
    </row>
    <row r="171" spans="1:19" ht="12.75" customHeight="1"/>
    <row r="172" spans="1:19" ht="12.75" customHeight="1"/>
    <row r="173" spans="1:19" ht="12.75" customHeight="1">
      <c r="F173" s="281"/>
      <c r="G173" s="1254"/>
      <c r="H173" s="1255"/>
    </row>
    <row r="174" spans="1:19" ht="12.75" customHeight="1">
      <c r="F174" s="281"/>
      <c r="G174" s="1254"/>
      <c r="H174" s="1255"/>
    </row>
    <row r="175" spans="1:19" ht="12.75" customHeight="1">
      <c r="G175" s="1254"/>
      <c r="H175" s="1255"/>
    </row>
    <row r="176" spans="1:19" ht="12.75" customHeight="1">
      <c r="G176" s="1254"/>
      <c r="H176" s="1255"/>
    </row>
    <row r="177" spans="7:8" ht="12.75" customHeight="1">
      <c r="G177" s="1254"/>
      <c r="H177" s="1255"/>
    </row>
    <row r="178" spans="7:8">
      <c r="G178" s="1254"/>
      <c r="H178" s="1255"/>
    </row>
  </sheetData>
  <hyperlinks>
    <hyperlink ref="E83" r:id="rId1"/>
    <hyperlink ref="E152" r:id="rId2"/>
    <hyperlink ref="E97" r:id="rId3"/>
    <hyperlink ref="E18" r:id="rId4"/>
    <hyperlink ref="E163" r:id="rId5"/>
    <hyperlink ref="E111" r:id="rId6"/>
    <hyperlink ref="E126" r:id="rId7"/>
    <hyperlink ref="E33" r:id="rId8"/>
    <hyperlink ref="E51" r:id="rId9"/>
    <hyperlink ref="E67" r:id="rId10"/>
  </hyperlinks>
  <pageMargins left="0.7" right="0.7" top="0.75" bottom="0.75" header="0.3" footer="0.3"/>
</worksheet>
</file>

<file path=xl/worksheets/sheet17.xml><?xml version="1.0" encoding="utf-8"?>
<worksheet xmlns="http://schemas.openxmlformats.org/spreadsheetml/2006/main" xmlns:r="http://schemas.openxmlformats.org/officeDocument/2006/relationships">
  <sheetPr>
    <tabColor theme="9"/>
  </sheetPr>
  <dimension ref="A1"/>
  <sheetViews>
    <sheetView workbookViewId="0">
      <selection activeCell="X47" sqref="X47"/>
    </sheetView>
  </sheetViews>
  <sheetFormatPr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sheetPr>
    <tabColor theme="9"/>
  </sheetPr>
  <dimension ref="A1:H40"/>
  <sheetViews>
    <sheetView topLeftCell="B2" workbookViewId="0">
      <selection activeCell="D33" sqref="D33:G33"/>
    </sheetView>
  </sheetViews>
  <sheetFormatPr defaultRowHeight="12.75" outlineLevelRow="1" outlineLevelCol="1"/>
  <cols>
    <col min="1" max="1" width="9.140625" style="1198" hidden="1" customWidth="1" outlineLevel="1"/>
    <col min="2" max="2" width="9.140625" style="621" collapsed="1"/>
    <col min="3" max="3" width="9.5703125" style="621" bestFit="1" customWidth="1"/>
    <col min="4" max="6" width="9.85546875" style="621" customWidth="1"/>
    <col min="7" max="8" width="12.7109375" style="621" customWidth="1"/>
    <col min="9" max="16384" width="9.140625" style="621"/>
  </cols>
  <sheetData>
    <row r="1" spans="2:8" s="1198" customFormat="1" hidden="1" outlineLevel="1">
      <c r="D1" s="1198" t="s">
        <v>67</v>
      </c>
      <c r="E1" s="1198" t="s">
        <v>66</v>
      </c>
      <c r="F1" s="1198" t="s">
        <v>101</v>
      </c>
      <c r="G1" s="1198" t="s">
        <v>406</v>
      </c>
    </row>
    <row r="2" spans="2:8" collapsed="1">
      <c r="B2" s="126" t="s">
        <v>91</v>
      </c>
      <c r="C2" s="126" t="str">
        <f>'ORTP Summary'!C1</f>
        <v>ISO-NE ORTP 2013 Study</v>
      </c>
    </row>
    <row r="3" spans="2:8">
      <c r="B3" s="126" t="s">
        <v>92</v>
      </c>
      <c r="C3" s="140" t="s">
        <v>113</v>
      </c>
    </row>
    <row r="4" spans="2:8">
      <c r="B4" s="126" t="s">
        <v>114</v>
      </c>
      <c r="C4" s="95" t="s">
        <v>430</v>
      </c>
    </row>
    <row r="6" spans="2:8" ht="15.75">
      <c r="C6" s="679" t="s">
        <v>418</v>
      </c>
      <c r="D6" s="679"/>
      <c r="E6" s="679"/>
      <c r="F6" s="679"/>
      <c r="G6" s="681"/>
    </row>
    <row r="7" spans="2:8" ht="9" customHeight="1" thickBot="1">
      <c r="B7" s="622"/>
      <c r="C7" s="623"/>
      <c r="D7" s="623"/>
      <c r="E7" s="623"/>
      <c r="F7" s="623"/>
      <c r="G7" s="623"/>
      <c r="H7" s="622"/>
    </row>
    <row r="8" spans="2:8" ht="9" customHeight="1" thickTop="1">
      <c r="B8" s="622"/>
      <c r="C8" s="622"/>
      <c r="D8" s="622"/>
      <c r="E8" s="622"/>
      <c r="F8" s="622"/>
      <c r="G8" s="622"/>
      <c r="H8" s="622"/>
    </row>
    <row r="9" spans="2:8" ht="25.5">
      <c r="B9" s="622"/>
      <c r="C9" s="696" t="s">
        <v>42</v>
      </c>
      <c r="D9" s="697" t="s">
        <v>67</v>
      </c>
      <c r="E9" s="697" t="s">
        <v>66</v>
      </c>
      <c r="F9" s="698" t="s">
        <v>429</v>
      </c>
      <c r="G9" s="698" t="s">
        <v>404</v>
      </c>
      <c r="H9" s="622"/>
    </row>
    <row r="10" spans="2:8">
      <c r="B10" s="622"/>
      <c r="C10" s="622"/>
      <c r="D10" s="624" t="s">
        <v>215</v>
      </c>
      <c r="E10" s="624" t="s">
        <v>215</v>
      </c>
      <c r="F10" s="624" t="s">
        <v>215</v>
      </c>
      <c r="G10" s="624" t="s">
        <v>215</v>
      </c>
      <c r="H10" s="622"/>
    </row>
    <row r="11" spans="2:8" ht="9" customHeight="1">
      <c r="B11" s="622"/>
      <c r="C11" s="625"/>
      <c r="D11" s="626"/>
      <c r="E11" s="626"/>
      <c r="F11" s="626"/>
      <c r="G11" s="626"/>
      <c r="H11" s="622"/>
    </row>
    <row r="12" spans="2:8" ht="9" customHeight="1">
      <c r="B12" s="622"/>
      <c r="C12" s="627"/>
      <c r="D12" s="617"/>
      <c r="E12" s="617"/>
      <c r="F12" s="617"/>
      <c r="G12" s="617"/>
      <c r="H12" s="622"/>
    </row>
    <row r="13" spans="2:8">
      <c r="B13" s="622"/>
      <c r="C13" s="628">
        <v>2010</v>
      </c>
      <c r="D13" s="749">
        <f>AVERAGEIFS('Margin Forecast'!$I$14:$I$49, 'Margin Forecast'!$A$14:$A$49, 'Annual Results'!$C13)</f>
        <v>3.3048922747932097</v>
      </c>
      <c r="E13" s="749">
        <f>AVERAGEIFS('Margin Forecast'!$M$14:$M$49, 'Margin Forecast'!$A$14:$A$49, 'Annual Results'!$C13)</f>
        <v>2.4595120332597697</v>
      </c>
      <c r="F13" s="749">
        <f>AVERAGEIFS('Margin Forecast'!$Q$14:$Q$49, 'Margin Forecast'!$A$14:$A$49, 'Annual Results'!$C13)</f>
        <v>10.973093708699745</v>
      </c>
      <c r="G13" s="749">
        <f>AVERAGEIFS('Margin Forecast'!$T$14:$T$49, 'Margin Forecast'!$A$14:$A$49, 'Annual Results'!$C13)</f>
        <v>5.4767862190416663</v>
      </c>
      <c r="H13" s="622"/>
    </row>
    <row r="14" spans="2:8">
      <c r="B14" s="622"/>
      <c r="C14" s="628">
        <v>2011</v>
      </c>
      <c r="D14" s="749">
        <f>AVERAGEIFS('Margin Forecast'!$I$14:$I$49, 'Margin Forecast'!$A$14:$A$49, 'Annual Results'!$C14)</f>
        <v>3.1535164039784562</v>
      </c>
      <c r="E14" s="749">
        <f>AVERAGEIFS('Margin Forecast'!$M$14:$M$49, 'Margin Forecast'!$A$14:$A$49, 'Annual Results'!$C14)</f>
        <v>2.3383129780958267</v>
      </c>
      <c r="F14" s="749">
        <f>AVERAGEIFS('Margin Forecast'!$Q$14:$Q$49, 'Margin Forecast'!$A$14:$A$49, 'Annual Results'!$C14)</f>
        <v>9.9369064799061295</v>
      </c>
      <c r="G14" s="749">
        <f>AVERAGEIFS('Margin Forecast'!$T$14:$T$49, 'Margin Forecast'!$A$14:$A$49, 'Annual Results'!$C14)</f>
        <v>5.1948769649791684</v>
      </c>
      <c r="H14" s="622"/>
    </row>
    <row r="15" spans="2:8">
      <c r="B15" s="622"/>
      <c r="C15" s="629">
        <v>2012</v>
      </c>
      <c r="D15" s="749">
        <f>AVERAGEIFS('Margin Forecast'!$I$14:$I$49, 'Margin Forecast'!$A$14:$A$49, 'Annual Results'!$C15)</f>
        <v>2.9199520037607538</v>
      </c>
      <c r="E15" s="749">
        <f>AVERAGEIFS('Margin Forecast'!$M$14:$M$49, 'Margin Forecast'!$A$14:$A$49, 'Annual Results'!$C15)</f>
        <v>2.012041342577052</v>
      </c>
      <c r="F15" s="749">
        <f>AVERAGEIFS('Margin Forecast'!$Q$14:$Q$49, 'Margin Forecast'!$A$14:$A$49, 'Annual Results'!$C15)</f>
        <v>7.4942958125565609</v>
      </c>
      <c r="G15" s="749">
        <f>AVERAGEIFS('Margin Forecast'!$T$14:$T$49, 'Margin Forecast'!$A$14:$A$49, 'Annual Results'!$C15)</f>
        <v>3.9060898750000006</v>
      </c>
      <c r="H15" s="622"/>
    </row>
    <row r="16" spans="2:8" ht="6" customHeight="1">
      <c r="B16" s="622"/>
      <c r="C16" s="630"/>
      <c r="D16" s="750"/>
      <c r="E16" s="750"/>
      <c r="F16" s="750"/>
      <c r="G16" s="750"/>
      <c r="H16" s="622"/>
    </row>
    <row r="17" spans="1:8" ht="6" customHeight="1">
      <c r="B17" s="622"/>
      <c r="C17" s="629"/>
      <c r="D17" s="751"/>
      <c r="E17" s="751"/>
      <c r="F17" s="751"/>
      <c r="G17" s="751"/>
      <c r="H17" s="622"/>
    </row>
    <row r="18" spans="1:8">
      <c r="B18" s="622"/>
      <c r="C18" s="628">
        <v>2013</v>
      </c>
      <c r="D18" s="749">
        <f>AVERAGEIFS('Margin Forecast'!$J:$J, 'Margin Forecast'!$A:$A, 'Annual Results'!$C18)</f>
        <v>3.3543542745663175</v>
      </c>
      <c r="E18" s="749">
        <f>AVERAGEIFS('Margin Forecast'!$N:$N, 'Margin Forecast'!$A:$A, 'Annual Results'!$C18)</f>
        <v>2.4718484503648654</v>
      </c>
      <c r="F18" s="749">
        <f>AVERAGEIFS('Margin Forecast'!$R:$R, 'Margin Forecast'!$A:$A, 'Annual Results'!$C18)</f>
        <v>12.378846688668631</v>
      </c>
      <c r="G18" s="749">
        <f>AVERAGEIFS('Margin Forecast'!$U:$U, 'Margin Forecast'!$A:$A, 'Annual Results'!$C18)</f>
        <v>5.7853533208408647</v>
      </c>
      <c r="H18" s="622"/>
    </row>
    <row r="19" spans="1:8">
      <c r="B19" s="622"/>
      <c r="C19" s="628">
        <v>2014</v>
      </c>
      <c r="D19" s="749">
        <f>AVERAGEIFS('Margin Forecast'!$J:$J, 'Margin Forecast'!$A:$A, 'Annual Results'!$C19)</f>
        <v>3.3084011345843041</v>
      </c>
      <c r="E19" s="749">
        <f>AVERAGEIFS('Margin Forecast'!$N:$N, 'Margin Forecast'!$A:$A, 'Annual Results'!$C19)</f>
        <v>2.3814811433579917</v>
      </c>
      <c r="F19" s="749">
        <f>AVERAGEIFS('Margin Forecast'!$R:$R, 'Margin Forecast'!$A:$A, 'Annual Results'!$C19)</f>
        <v>11.564340030127362</v>
      </c>
      <c r="G19" s="749">
        <f>AVERAGEIFS('Margin Forecast'!$U:$U, 'Margin Forecast'!$A:$A, 'Annual Results'!$C19)</f>
        <v>5.4522963229994508</v>
      </c>
      <c r="H19" s="622"/>
    </row>
    <row r="20" spans="1:8">
      <c r="B20" s="622"/>
      <c r="C20" s="628">
        <v>2015</v>
      </c>
      <c r="D20" s="749">
        <f>AVERAGEIFS('Margin Forecast'!$J:$J, 'Margin Forecast'!$A:$A, 'Annual Results'!$C20)</f>
        <v>3.431861191794733</v>
      </c>
      <c r="E20" s="749">
        <f>AVERAGEIFS('Margin Forecast'!$N:$N, 'Margin Forecast'!$A:$A, 'Annual Results'!$C20)</f>
        <v>2.4721068864350704</v>
      </c>
      <c r="F20" s="749">
        <f>AVERAGEIFS('Margin Forecast'!$R:$R, 'Margin Forecast'!$A:$A, 'Annual Results'!$C20)</f>
        <v>12.018015035646185</v>
      </c>
      <c r="G20" s="749">
        <f>AVERAGEIFS('Margin Forecast'!$U:$U, 'Margin Forecast'!$A:$A, 'Annual Results'!$C20)</f>
        <v>5.6673919095200374</v>
      </c>
      <c r="H20" s="622"/>
    </row>
    <row r="21" spans="1:8">
      <c r="B21" s="622"/>
      <c r="C21" s="628">
        <v>2016</v>
      </c>
      <c r="D21" s="749">
        <f>AVERAGEIFS('Margin Forecast'!$J:$J, 'Margin Forecast'!$A:$A, 'Annual Results'!$C21)</f>
        <v>3.5221394509392776</v>
      </c>
      <c r="E21" s="749">
        <f>AVERAGEIFS('Margin Forecast'!$N:$N, 'Margin Forecast'!$A:$A, 'Annual Results'!$C21)</f>
        <v>2.5371660555011148</v>
      </c>
      <c r="F21" s="749">
        <f>AVERAGEIFS('Margin Forecast'!$R:$R, 'Margin Forecast'!$A:$A, 'Annual Results'!$C21)</f>
        <v>12.342919437229996</v>
      </c>
      <c r="G21" s="749">
        <f>AVERAGEIFS('Margin Forecast'!$U:$U, 'Margin Forecast'!$A:$A, 'Annual Results'!$C21)</f>
        <v>5.8192416405327263</v>
      </c>
      <c r="H21" s="622"/>
    </row>
    <row r="22" spans="1:8">
      <c r="B22" s="622"/>
      <c r="C22" s="628">
        <v>2017</v>
      </c>
      <c r="D22" s="749">
        <f>AVERAGEIFS('Margin Forecast'!$J:$J, 'Margin Forecast'!$A:$A, 'Annual Results'!$C22)</f>
        <v>3.6064495862258212</v>
      </c>
      <c r="E22" s="749">
        <f>AVERAGEIFS('Margin Forecast'!$N:$N, 'Margin Forecast'!$A:$A, 'Annual Results'!$C22)</f>
        <v>2.597567784817818</v>
      </c>
      <c r="F22" s="749">
        <f>AVERAGEIFS('Margin Forecast'!$R:$R, 'Margin Forecast'!$A:$A, 'Annual Results'!$C22)</f>
        <v>12.641687855702727</v>
      </c>
      <c r="G22" s="749">
        <f>AVERAGEIFS('Margin Forecast'!$U:$U, 'Margin Forecast'!$A:$A, 'Annual Results'!$C22)</f>
        <v>5.9587191256948975</v>
      </c>
      <c r="H22" s="622"/>
    </row>
    <row r="23" spans="1:8">
      <c r="B23" s="622"/>
      <c r="C23" s="628">
        <v>2018</v>
      </c>
      <c r="D23" s="749">
        <f>AVERAGEIFS('Margin Forecast'!$J:$J, 'Margin Forecast'!$A:$A, 'Annual Results'!$C23)</f>
        <v>3.7054019844607669</v>
      </c>
      <c r="E23" s="749">
        <f>AVERAGEIFS('Margin Forecast'!$N:$N, 'Margin Forecast'!$A:$A, 'Annual Results'!$C23)</f>
        <v>2.6691459944327049</v>
      </c>
      <c r="F23" s="749">
        <f>AVERAGEIFS('Margin Forecast'!$R:$R, 'Margin Forecast'!$A:$A, 'Annual Results'!$C23)</f>
        <v>12.988723438923317</v>
      </c>
      <c r="G23" s="749">
        <f>AVERAGEIFS('Margin Forecast'!$U:$U, 'Margin Forecast'!$A:$A, 'Annual Results'!$C23)</f>
        <v>6.1226358202367459</v>
      </c>
      <c r="H23" s="622"/>
    </row>
    <row r="24" spans="1:8" hidden="1" outlineLevel="1">
      <c r="B24" s="622"/>
      <c r="C24" s="628">
        <v>2019</v>
      </c>
      <c r="D24" s="749">
        <f>AVERAGEIFS('Margin Forecast'!$J:$J, 'Margin Forecast'!$A:$A, 'Annual Results'!$C24)</f>
        <v>1.7405776121628425</v>
      </c>
      <c r="E24" s="749">
        <f>AVERAGEIFS('Margin Forecast'!$N:$N, 'Margin Forecast'!$A:$A, 'Annual Results'!$C24)</f>
        <v>1.2748547736361895</v>
      </c>
      <c r="F24" s="749">
        <f>AVERAGEIFS('Margin Forecast'!$R:$R, 'Margin Forecast'!$A:$A, 'Annual Results'!$C24)</f>
        <v>8.5213872220392712</v>
      </c>
      <c r="G24" s="749">
        <f>AVERAGEIFS('Margin Forecast'!$U:$U, 'Margin Forecast'!$A:$A, 'Annual Results'!$C24)</f>
        <v>3.5119633072658125</v>
      </c>
      <c r="H24" s="622"/>
    </row>
    <row r="25" spans="1:8" hidden="1" outlineLevel="1">
      <c r="B25" s="622"/>
      <c r="C25" s="628">
        <v>2020</v>
      </c>
      <c r="D25" s="749">
        <f>AVERAGEIFS('Margin Forecast'!$J:$J, 'Margin Forecast'!$A:$A, 'Annual Results'!$C25)</f>
        <v>1.1863027856846768</v>
      </c>
      <c r="E25" s="749">
        <f>AVERAGEIFS('Margin Forecast'!$N:$N, 'Margin Forecast'!$A:$A, 'Annual Results'!$C25)</f>
        <v>0.63418299409059742</v>
      </c>
      <c r="F25" s="749">
        <f>AVERAGEIFS('Margin Forecast'!$R:$R, 'Margin Forecast'!$A:$A, 'Annual Results'!$C25)</f>
        <v>4.6399201707833955</v>
      </c>
      <c r="G25" s="749">
        <f>AVERAGEIFS('Margin Forecast'!$U:$U, 'Margin Forecast'!$A:$A, 'Annual Results'!$C25)</f>
        <v>1.6422337570508228</v>
      </c>
      <c r="H25" s="622"/>
    </row>
    <row r="26" spans="1:8" ht="9" customHeight="1" collapsed="1">
      <c r="B26" s="622"/>
      <c r="C26" s="630"/>
      <c r="D26" s="750"/>
      <c r="E26" s="750"/>
      <c r="F26" s="750"/>
      <c r="G26" s="750"/>
      <c r="H26" s="622"/>
    </row>
    <row r="27" spans="1:8" ht="9" customHeight="1">
      <c r="B27" s="622"/>
      <c r="C27" s="628"/>
      <c r="D27" s="749"/>
      <c r="E27" s="749"/>
      <c r="F27" s="749"/>
      <c r="G27" s="749"/>
      <c r="H27" s="622"/>
    </row>
    <row r="28" spans="1:8">
      <c r="A28" s="1198" t="s">
        <v>894</v>
      </c>
      <c r="B28" s="622"/>
      <c r="C28" s="1235" t="s">
        <v>419</v>
      </c>
      <c r="D28" s="1236">
        <f>AVERAGE('Margin Forecast'!J115:J126)</f>
        <v>3.7457091897290216</v>
      </c>
      <c r="E28" s="1236">
        <f>AVERAGE('Margin Forecast'!N115:N126)</f>
        <v>2.7067709155166564</v>
      </c>
      <c r="F28" s="1236">
        <f>AVERAGE('Margin Forecast'!R115:R126)</f>
        <v>13.228895177098591</v>
      </c>
      <c r="G28" s="1236">
        <f>AVERAGE('Margin Forecast'!U115:U126)</f>
        <v>6.2307243261639256</v>
      </c>
      <c r="H28" s="622"/>
    </row>
    <row r="29" spans="1:8" outlineLevel="1">
      <c r="A29" s="1198" t="s">
        <v>895</v>
      </c>
      <c r="B29" s="622"/>
      <c r="C29" s="1235" t="s">
        <v>897</v>
      </c>
      <c r="D29" s="1236">
        <f>AVERAGE('Margin Forecast'!J127:J138)</f>
        <v>1.1770197856885514</v>
      </c>
      <c r="E29" s="1236">
        <f>AVERAGE('Margin Forecast'!N127:N137)</f>
        <v>0.70121753472972714</v>
      </c>
      <c r="F29" s="1236">
        <f>AVERAGE('Margin Forecast'!R127:R138)</f>
        <v>4.6117457445709213</v>
      </c>
      <c r="G29" s="1236">
        <f>AVERAGE('Margin Forecast'!U127:U138)</f>
        <v>1.6329109236664603</v>
      </c>
      <c r="H29" s="622"/>
    </row>
    <row r="30" spans="1:8" outlineLevel="1">
      <c r="A30" s="1198" t="s">
        <v>896</v>
      </c>
      <c r="B30" s="622"/>
      <c r="C30" s="1235" t="s">
        <v>898</v>
      </c>
      <c r="D30" s="1236">
        <f>AVERAGE('Margin Forecast'!J139:J150)</f>
        <v>1.2035027308665436</v>
      </c>
      <c r="E30" s="1236">
        <f>AVERAGE('Margin Forecast'!N139:N150)</f>
        <v>0.64371209349438241</v>
      </c>
      <c r="F30" s="1236">
        <f>AVERAGE('Margin Forecast'!R139:R150)</f>
        <v>4.7155100238237688</v>
      </c>
      <c r="G30" s="1236">
        <f>AVERAGE('Margin Forecast'!U139:U150)</f>
        <v>1.6696514194489558</v>
      </c>
      <c r="H30" s="622"/>
    </row>
    <row r="31" spans="1:8" ht="9" customHeight="1" thickBot="1">
      <c r="B31" s="622"/>
      <c r="C31" s="623"/>
      <c r="D31" s="623"/>
      <c r="E31" s="623"/>
      <c r="F31" s="623"/>
      <c r="G31" s="623"/>
      <c r="H31" s="622"/>
    </row>
    <row r="32" spans="1:8" ht="9" customHeight="1" thickTop="1">
      <c r="B32" s="622"/>
      <c r="C32" s="622"/>
      <c r="D32" s="622"/>
      <c r="E32" s="622"/>
      <c r="F32" s="622"/>
      <c r="G32" s="622"/>
      <c r="H32" s="622"/>
    </row>
    <row r="33" spans="2:8">
      <c r="B33" s="622"/>
      <c r="C33" s="631"/>
      <c r="D33" s="622"/>
      <c r="E33" s="622"/>
      <c r="F33" s="622"/>
      <c r="G33" s="622"/>
      <c r="H33" s="622"/>
    </row>
    <row r="34" spans="2:8">
      <c r="B34" s="622"/>
      <c r="C34" s="631"/>
      <c r="D34" s="622"/>
      <c r="E34" s="622"/>
      <c r="F34" s="622"/>
      <c r="G34" s="622"/>
      <c r="H34" s="622"/>
    </row>
    <row r="35" spans="2:8">
      <c r="B35" s="622"/>
      <c r="C35" s="622"/>
      <c r="D35" s="622"/>
      <c r="E35" s="622"/>
      <c r="F35" s="622"/>
      <c r="G35" s="622"/>
      <c r="H35" s="622"/>
    </row>
    <row r="36" spans="2:8">
      <c r="B36" s="622"/>
      <c r="C36" s="622"/>
      <c r="D36" s="622"/>
      <c r="E36" s="622"/>
      <c r="F36" s="622"/>
      <c r="G36" s="622"/>
      <c r="H36" s="622"/>
    </row>
    <row r="37" spans="2:8">
      <c r="B37" s="622"/>
      <c r="C37" s="622"/>
      <c r="D37" s="622"/>
      <c r="E37" s="622"/>
      <c r="F37" s="622"/>
      <c r="G37" s="622"/>
      <c r="H37" s="622"/>
    </row>
    <row r="38" spans="2:8">
      <c r="B38" s="622"/>
      <c r="C38" s="622"/>
      <c r="D38" s="622"/>
      <c r="E38" s="622"/>
      <c r="F38" s="622"/>
      <c r="G38" s="622"/>
      <c r="H38" s="622"/>
    </row>
    <row r="39" spans="2:8">
      <c r="B39" s="622"/>
      <c r="C39" s="622"/>
      <c r="D39" s="622"/>
      <c r="E39" s="622"/>
      <c r="F39" s="622"/>
      <c r="G39" s="622"/>
      <c r="H39" s="622"/>
    </row>
    <row r="40" spans="2:8">
      <c r="B40" s="622"/>
      <c r="C40" s="622"/>
      <c r="D40" s="622"/>
      <c r="E40" s="622"/>
      <c r="F40" s="622"/>
      <c r="G40" s="622"/>
      <c r="H40" s="622"/>
    </row>
  </sheetData>
  <pageMargins left="0.7" right="0.7" top="0.75" bottom="0.75" header="0.3" footer="0.3"/>
  <pageSetup orientation="portrait" blackAndWhite="1" r:id="rId1"/>
</worksheet>
</file>

<file path=xl/worksheets/sheet19.xml><?xml version="1.0" encoding="utf-8"?>
<worksheet xmlns="http://schemas.openxmlformats.org/spreadsheetml/2006/main" xmlns:r="http://schemas.openxmlformats.org/officeDocument/2006/relationships">
  <sheetPr>
    <tabColor theme="9"/>
  </sheetPr>
  <dimension ref="A1:V166"/>
  <sheetViews>
    <sheetView topLeftCell="C1" workbookViewId="0">
      <selection activeCell="S3" sqref="S3"/>
    </sheetView>
  </sheetViews>
  <sheetFormatPr defaultRowHeight="12.75" outlineLevelRow="1" outlineLevelCol="1"/>
  <cols>
    <col min="1" max="1" width="9.7109375" style="711" hidden="1" customWidth="1" outlineLevel="1"/>
    <col min="2" max="2" width="9.5703125" style="711" hidden="1" customWidth="1" outlineLevel="1"/>
    <col min="3" max="3" width="9.85546875" style="619" customWidth="1" collapsed="1"/>
    <col min="4" max="4" width="9.140625" style="614" customWidth="1"/>
    <col min="5" max="5" width="0.85546875" style="614" customWidth="1"/>
    <col min="6" max="6" width="16.7109375" style="620" customWidth="1"/>
    <col min="7" max="7" width="0.85546875" style="620" customWidth="1"/>
    <col min="8" max="8" width="15.7109375" style="620" customWidth="1"/>
    <col min="9" max="10" width="15.7109375" style="619" customWidth="1"/>
    <col min="11" max="11" width="0.85546875" style="619" customWidth="1"/>
    <col min="12" max="12" width="15.7109375" style="620" customWidth="1"/>
    <col min="13" max="14" width="15.7109375" style="619" customWidth="1"/>
    <col min="15" max="15" width="0.85546875" style="619" customWidth="1"/>
    <col min="16" max="16" width="15.7109375" style="620" customWidth="1"/>
    <col min="17" max="18" width="15.7109375" style="656" customWidth="1"/>
    <col min="19" max="19" width="15.7109375" style="620" customWidth="1"/>
    <col min="20" max="21" width="15.7109375" style="656" customWidth="1"/>
    <col min="22" max="16384" width="9.140625" style="614"/>
  </cols>
  <sheetData>
    <row r="1" spans="1:22">
      <c r="A1" s="711" t="s">
        <v>435</v>
      </c>
      <c r="B1" s="712" t="s">
        <v>436</v>
      </c>
      <c r="C1" s="281" t="s">
        <v>91</v>
      </c>
      <c r="D1" s="126" t="str">
        <f>'ORTP Summary'!C1</f>
        <v>ISO-NE ORTP 2013 Study</v>
      </c>
    </row>
    <row r="2" spans="1:22">
      <c r="A2" s="712">
        <v>2010</v>
      </c>
      <c r="B2" s="711">
        <v>1</v>
      </c>
      <c r="C2" s="281" t="s">
        <v>92</v>
      </c>
      <c r="D2" s="140" t="s">
        <v>113</v>
      </c>
      <c r="Q2" s="1265" t="s">
        <v>929</v>
      </c>
      <c r="R2" s="1230">
        <v>0.31</v>
      </c>
    </row>
    <row r="3" spans="1:22">
      <c r="A3" s="711">
        <v>2011</v>
      </c>
      <c r="B3" s="712"/>
      <c r="C3" s="281" t="s">
        <v>114</v>
      </c>
      <c r="D3" s="95" t="s">
        <v>431</v>
      </c>
    </row>
    <row r="4" spans="1:22" ht="15.75">
      <c r="A4" s="711">
        <v>2012</v>
      </c>
      <c r="D4" s="619"/>
      <c r="E4" s="682"/>
      <c r="F4" s="714"/>
      <c r="G4" s="682"/>
      <c r="H4" s="682"/>
      <c r="I4" s="682"/>
      <c r="J4" s="682"/>
      <c r="K4" s="682"/>
      <c r="L4" s="682"/>
      <c r="M4" s="682"/>
      <c r="N4" s="682"/>
      <c r="O4" s="682"/>
      <c r="P4" s="682"/>
      <c r="Q4" s="682"/>
      <c r="R4" s="682"/>
      <c r="S4" s="682"/>
      <c r="T4" s="682"/>
      <c r="U4" s="682"/>
    </row>
    <row r="5" spans="1:22" ht="15.75">
      <c r="D5" s="683" t="s">
        <v>425</v>
      </c>
      <c r="E5" s="684"/>
      <c r="F5" s="684"/>
      <c r="G5" s="684"/>
      <c r="H5" s="684"/>
      <c r="I5" s="684"/>
      <c r="J5" s="684"/>
      <c r="K5" s="684"/>
      <c r="L5" s="680"/>
      <c r="M5" s="684"/>
      <c r="N5" s="684"/>
      <c r="O5" s="684"/>
      <c r="P5" s="684"/>
      <c r="Q5" s="684"/>
      <c r="R5" s="684"/>
      <c r="S5" s="684"/>
      <c r="T5" s="684"/>
      <c r="U5" s="684"/>
    </row>
    <row r="6" spans="1:22" ht="6" customHeight="1" thickBot="1">
      <c r="D6" s="657"/>
      <c r="E6" s="657"/>
      <c r="F6" s="658"/>
      <c r="G6" s="659"/>
      <c r="H6" s="659"/>
      <c r="I6" s="660"/>
      <c r="J6" s="660"/>
      <c r="K6" s="660"/>
      <c r="L6" s="659"/>
      <c r="M6" s="660"/>
      <c r="N6" s="660"/>
      <c r="O6" s="660"/>
      <c r="P6" s="659"/>
      <c r="Q6" s="661"/>
      <c r="R6" s="660"/>
      <c r="S6" s="659"/>
      <c r="T6" s="661"/>
      <c r="U6" s="660"/>
    </row>
    <row r="7" spans="1:22" ht="6" customHeight="1" thickTop="1">
      <c r="D7" s="662"/>
      <c r="E7" s="734"/>
      <c r="F7" s="663"/>
      <c r="G7" s="666"/>
      <c r="H7" s="666"/>
      <c r="I7" s="664"/>
      <c r="J7" s="664"/>
      <c r="K7" s="665"/>
      <c r="L7" s="666"/>
      <c r="M7" s="664"/>
      <c r="N7" s="664"/>
      <c r="O7" s="664"/>
      <c r="P7" s="666"/>
      <c r="Q7" s="667"/>
      <c r="R7" s="664"/>
      <c r="S7" s="666"/>
      <c r="T7" s="667"/>
      <c r="U7" s="664"/>
    </row>
    <row r="8" spans="1:22">
      <c r="D8" s="662"/>
      <c r="E8" s="662"/>
      <c r="F8" s="663"/>
      <c r="G8" s="668"/>
      <c r="H8" s="735" t="s">
        <v>67</v>
      </c>
      <c r="I8" s="635"/>
      <c r="J8" s="735"/>
      <c r="K8" s="665"/>
      <c r="L8" s="735" t="s">
        <v>66</v>
      </c>
      <c r="M8" s="635"/>
      <c r="N8" s="735"/>
      <c r="O8" s="665"/>
      <c r="P8" s="736" t="s">
        <v>347</v>
      </c>
      <c r="Q8" s="737"/>
      <c r="R8" s="735"/>
      <c r="S8" s="736" t="s">
        <v>404</v>
      </c>
      <c r="T8" s="737"/>
      <c r="U8" s="735"/>
    </row>
    <row r="9" spans="1:22" ht="6" customHeight="1">
      <c r="D9" s="662"/>
      <c r="E9" s="662"/>
      <c r="F9" s="663"/>
      <c r="G9" s="668"/>
      <c r="H9" s="668"/>
      <c r="I9" s="665"/>
      <c r="J9" s="665"/>
      <c r="K9" s="665"/>
      <c r="L9" s="668"/>
      <c r="M9" s="665"/>
      <c r="N9" s="665"/>
      <c r="O9" s="665"/>
      <c r="P9" s="668"/>
      <c r="Q9" s="669"/>
      <c r="R9" s="665"/>
      <c r="S9" s="668"/>
      <c r="T9" s="669"/>
      <c r="U9" s="665"/>
    </row>
    <row r="10" spans="1:22" s="741" customFormat="1" ht="38.25">
      <c r="A10" s="738"/>
      <c r="B10" s="738"/>
      <c r="C10" s="739"/>
      <c r="D10" s="745" t="s">
        <v>442</v>
      </c>
      <c r="E10" s="745"/>
      <c r="F10" s="745" t="s">
        <v>443</v>
      </c>
      <c r="G10" s="746"/>
      <c r="H10" s="746" t="s">
        <v>426</v>
      </c>
      <c r="I10" s="747" t="s">
        <v>440</v>
      </c>
      <c r="J10" s="747" t="s">
        <v>441</v>
      </c>
      <c r="K10" s="747"/>
      <c r="L10" s="746" t="s">
        <v>426</v>
      </c>
      <c r="M10" s="747" t="s">
        <v>440</v>
      </c>
      <c r="N10" s="747" t="s">
        <v>441</v>
      </c>
      <c r="O10" s="747"/>
      <c r="P10" s="746" t="s">
        <v>426</v>
      </c>
      <c r="Q10" s="747" t="s">
        <v>440</v>
      </c>
      <c r="R10" s="747" t="s">
        <v>441</v>
      </c>
      <c r="S10" s="746" t="s">
        <v>426</v>
      </c>
      <c r="T10" s="747" t="s">
        <v>440</v>
      </c>
      <c r="U10" s="747" t="s">
        <v>441</v>
      </c>
      <c r="V10" s="740"/>
    </row>
    <row r="11" spans="1:22" s="672" customFormat="1">
      <c r="A11" s="713" t="s">
        <v>42</v>
      </c>
      <c r="B11" s="713" t="s">
        <v>434</v>
      </c>
      <c r="C11" s="733"/>
      <c r="D11" s="654">
        <v>1</v>
      </c>
      <c r="E11" s="616"/>
      <c r="F11" s="748">
        <f>D11+1</f>
        <v>2</v>
      </c>
      <c r="G11" s="748"/>
      <c r="H11" s="748">
        <f>F11+1</f>
        <v>3</v>
      </c>
      <c r="I11" s="748">
        <f>H11+1</f>
        <v>4</v>
      </c>
      <c r="J11" s="748">
        <f>I11+1</f>
        <v>5</v>
      </c>
      <c r="K11" s="748"/>
      <c r="L11" s="748">
        <f>J11+1</f>
        <v>6</v>
      </c>
      <c r="M11" s="748">
        <f>L11+1</f>
        <v>7</v>
      </c>
      <c r="N11" s="748">
        <f>M11+1</f>
        <v>8</v>
      </c>
      <c r="O11" s="748"/>
      <c r="P11" s="748">
        <f>N11+1</f>
        <v>9</v>
      </c>
      <c r="Q11" s="748">
        <f>P11+1</f>
        <v>10</v>
      </c>
      <c r="R11" s="748">
        <f>Q11+1</f>
        <v>11</v>
      </c>
      <c r="S11" s="748">
        <f>R11+1</f>
        <v>12</v>
      </c>
      <c r="T11" s="748">
        <f>S11+1</f>
        <v>13</v>
      </c>
      <c r="U11" s="748">
        <f>T11+1</f>
        <v>14</v>
      </c>
      <c r="V11" s="671"/>
    </row>
    <row r="12" spans="1:22" s="672" customFormat="1" ht="6" customHeight="1">
      <c r="A12" s="713"/>
      <c r="B12" s="713"/>
      <c r="C12" s="733"/>
      <c r="D12" s="743"/>
      <c r="E12" s="670"/>
      <c r="F12" s="744"/>
      <c r="G12" s="744"/>
      <c r="H12" s="744"/>
      <c r="I12" s="744"/>
      <c r="J12" s="744"/>
      <c r="K12" s="744"/>
      <c r="L12" s="744"/>
      <c r="M12" s="744"/>
      <c r="N12" s="744"/>
      <c r="O12" s="744"/>
      <c r="P12" s="744"/>
      <c r="Q12" s="744"/>
      <c r="R12" s="744"/>
      <c r="S12" s="744"/>
      <c r="T12" s="744"/>
      <c r="U12" s="744"/>
      <c r="V12" s="671"/>
    </row>
    <row r="13" spans="1:22" s="672" customFormat="1" ht="6" customHeight="1">
      <c r="A13" s="713"/>
      <c r="B13" s="713"/>
      <c r="C13" s="733"/>
      <c r="D13" s="636"/>
      <c r="F13" s="742"/>
      <c r="G13" s="742"/>
      <c r="H13" s="742"/>
      <c r="I13" s="742"/>
      <c r="J13" s="742"/>
      <c r="K13" s="742"/>
      <c r="L13" s="742"/>
      <c r="M13" s="742"/>
      <c r="N13" s="742"/>
      <c r="O13" s="742"/>
      <c r="P13" s="742"/>
      <c r="Q13" s="742"/>
      <c r="R13" s="742"/>
      <c r="S13" s="742"/>
      <c r="T13" s="742"/>
      <c r="U13" s="742"/>
      <c r="V13" s="671"/>
    </row>
    <row r="14" spans="1:22">
      <c r="A14" s="711">
        <f>YEAR(D14)</f>
        <v>2010</v>
      </c>
      <c r="B14" s="711">
        <f>MONTH(D14)</f>
        <v>1</v>
      </c>
      <c r="D14" s="673">
        <v>40179</v>
      </c>
      <c r="E14" s="673"/>
      <c r="F14" s="709">
        <f>INDEX('Historical Prices'!$1:$1048576, MATCH('Margin Forecast'!$D14, 'Historical Prices'!$B:$B, 0), MATCH($F$10, 'Historical Prices'!$8:$8, 0))</f>
        <v>67.123968750000074</v>
      </c>
      <c r="H14" s="710">
        <f>I14/F14</f>
        <v>6.0375938130913034E-2</v>
      </c>
      <c r="I14" s="674">
        <v>4.0526725843513445</v>
      </c>
      <c r="J14" s="715">
        <f t="shared" ref="J14:J45" si="0">AVERAGE(INDEX($H$14:$H$49,MATCH(DATE($A$2,$B14,$B$2),$D$14:$D$49,0)),INDEX($H$14:$H$49,MATCH(DATE($A$3,$B14,$B$2),$D$14:$D$49,0)),INDEX($H$14:$H$49,MATCH(DATE($A$4,$B14,$B$2),$D$14:$D$49,0)))*F14</f>
        <v>5.6509090787449479</v>
      </c>
      <c r="K14" s="674"/>
      <c r="L14" s="710">
        <f>M14/F14</f>
        <v>3.6539293383950983E-2</v>
      </c>
      <c r="M14" s="674">
        <v>2.4526623872514102</v>
      </c>
      <c r="N14" s="715">
        <f t="shared" ref="N14:N45" si="1">AVERAGE(INDEX($L$14:$L$49,MATCH(DATE($A$2,$B14,$B$2),$D$14:$D$49,0)),INDEX($L$14:$L$49,MATCH(DATE($A$3,$B14,$B$2),$D$14:$D$49,0)),INDEX($L$14:$L$49,MATCH(DATE($A$4,$B14,$B$2),$D$14:$D$49,0)))*F14</f>
        <v>2.4829530717474428</v>
      </c>
      <c r="O14" s="674"/>
      <c r="P14" s="710">
        <f>Q14/F14</f>
        <v>0.28629581185551684</v>
      </c>
      <c r="Q14" s="656">
        <v>19.217311128245612</v>
      </c>
      <c r="R14" s="716">
        <f>AVERAGE(INDEX($P$14:$P$49,MATCH(DATE($A$2,$B14,$B$2),$D$14:$D$49,0)),INDEX($P$14:$P$49,MATCH(DATE($A$3,$B14,$B$2),$D$14:$D$49,0)),INDEX($P$14:$P$49,MATCH(DATE($A$4,$B14,$B$2),$D$14:$D$49,0)))*F14</f>
        <v>15.883110119627201</v>
      </c>
      <c r="S14" s="710">
        <f>T14/F14</f>
        <v>7.8937255576086565E-2</v>
      </c>
      <c r="T14" s="656">
        <v>5.2985818765000037</v>
      </c>
      <c r="U14" s="716">
        <f>AVERAGE(INDEX($S$14:$S$49,MATCH(DATE($A$2,$B14,$B$2),$D$14:$D$49,0)),INDEX($S$14:$S$49,MATCH(DATE($A$3,$B14,$B$2),$D$14:$D$49,0)),INDEX($S$14:$S$49,MATCH(DATE($A$4,$B14,$B$2),$D$14:$D$49,0)))*F14</f>
        <v>5.3234109775052891</v>
      </c>
      <c r="V14" s="1141"/>
    </row>
    <row r="15" spans="1:22">
      <c r="A15" s="711">
        <f t="shared" ref="A15:A78" si="2">YEAR(D15)</f>
        <v>2010</v>
      </c>
      <c r="B15" s="711">
        <f t="shared" ref="B15:B78" si="3">MONTH(D15)</f>
        <v>2</v>
      </c>
      <c r="D15" s="673">
        <v>40210</v>
      </c>
      <c r="E15" s="673"/>
      <c r="F15" s="709">
        <f>INDEX('Historical Prices'!$1:$1048576, MATCH('Margin Forecast'!$D15, 'Historical Prices'!$B:$B, 0), MATCH($F$10, 'Historical Prices'!$8:$8, 0))</f>
        <v>57.414968749999979</v>
      </c>
      <c r="H15" s="710">
        <f t="shared" ref="H15:H52" si="4">I15/F15</f>
        <v>2.741863339275339E-2</v>
      </c>
      <c r="I15" s="674">
        <v>1.5742399794126418</v>
      </c>
      <c r="J15" s="715">
        <f t="shared" si="0"/>
        <v>2.2543977854796924</v>
      </c>
      <c r="K15" s="674"/>
      <c r="L15" s="710">
        <f t="shared" ref="L15:L52" si="5">M15/F15</f>
        <v>2.8154850020590334E-2</v>
      </c>
      <c r="M15" s="674">
        <v>1.6165098340931303</v>
      </c>
      <c r="N15" s="715">
        <f t="shared" si="1"/>
        <v>1.707672682661495</v>
      </c>
      <c r="O15" s="674"/>
      <c r="P15" s="710">
        <f t="shared" ref="P15:P52" si="6">Q15/F15</f>
        <v>0.24414637498036171</v>
      </c>
      <c r="Q15" s="656">
        <v>14.017656489923244</v>
      </c>
      <c r="R15" s="716">
        <f t="shared" ref="R15:R45" si="7">AVERAGE(INDEX($P$14:$P$49,MATCH(DATE($A$2,$B15,$B$2),$D$14:$D$49,0)),INDEX($P$14:$P$49,MATCH(DATE($A$3,$B15,$B$2),$D$14:$D$49,0)),INDEX($P$14:$P$49,MATCH(DATE($A$4,$B15,$B$2),$D$14:$D$49,0)))*F15</f>
        <v>14.469516669744747</v>
      </c>
      <c r="S15" s="710">
        <f t="shared" ref="S15:S49" si="8">T15/F15</f>
        <v>9.5459395969801117E-2</v>
      </c>
      <c r="T15" s="656">
        <v>5.4807982365000054</v>
      </c>
      <c r="U15" s="716">
        <f t="shared" ref="U15:U78" si="9">AVERAGE(INDEX($S$14:$S$49,MATCH(DATE($A$2,$B15,$B$2),$D$14:$D$49,0)),INDEX($S$14:$S$49,MATCH(DATE($A$3,$B15,$B$2),$D$14:$D$49,0)),INDEX($S$14:$S$49,MATCH(DATE($A$4,$B15,$B$2),$D$14:$D$49,0)))*F15</f>
        <v>5.2191808040232752</v>
      </c>
      <c r="V15" s="1141"/>
    </row>
    <row r="16" spans="1:22">
      <c r="A16" s="711">
        <f t="shared" si="2"/>
        <v>2010</v>
      </c>
      <c r="B16" s="711">
        <f t="shared" si="3"/>
        <v>3</v>
      </c>
      <c r="D16" s="673">
        <v>40238</v>
      </c>
      <c r="E16" s="673"/>
      <c r="F16" s="709">
        <f>INDEX('Historical Prices'!$1:$1048576, MATCH('Margin Forecast'!$D16, 'Historical Prices'!$B:$B, 0), MATCH($F$10, 'Historical Prices'!$8:$8, 0))</f>
        <v>41.993532608695638</v>
      </c>
      <c r="H16" s="710">
        <f t="shared" si="4"/>
        <v>-2.7821935806484739E-2</v>
      </c>
      <c r="I16" s="674">
        <v>-1.1683413685266537</v>
      </c>
      <c r="J16" s="715">
        <f t="shared" si="0"/>
        <v>0.42430226862545278</v>
      </c>
      <c r="K16" s="674"/>
      <c r="L16" s="710">
        <f t="shared" si="5"/>
        <v>1.7123130223029821E-2</v>
      </c>
      <c r="M16" s="674">
        <v>0.7190607273837446</v>
      </c>
      <c r="N16" s="715">
        <f t="shared" si="1"/>
        <v>0.70294689488697315</v>
      </c>
      <c r="O16" s="674"/>
      <c r="P16" s="710">
        <f t="shared" si="6"/>
        <v>0.25189607186465834</v>
      </c>
      <c r="Q16" s="656">
        <v>10.578005907850869</v>
      </c>
      <c r="R16" s="716">
        <f t="shared" si="7"/>
        <v>9.7666688722233292</v>
      </c>
      <c r="S16" s="710">
        <f t="shared" si="8"/>
        <v>0.11139069641598535</v>
      </c>
      <c r="T16" s="656">
        <v>4.6776888422499976</v>
      </c>
      <c r="U16" s="716">
        <f t="shared" si="9"/>
        <v>4.645693095410552</v>
      </c>
      <c r="V16" s="1141"/>
    </row>
    <row r="17" spans="1:22">
      <c r="A17" s="711">
        <f t="shared" si="2"/>
        <v>2010</v>
      </c>
      <c r="B17" s="711">
        <f t="shared" si="3"/>
        <v>4</v>
      </c>
      <c r="D17" s="673">
        <v>40269</v>
      </c>
      <c r="E17" s="673"/>
      <c r="F17" s="709">
        <f>INDEX('Historical Prices'!$1:$1048576, MATCH('Margin Forecast'!$D17, 'Historical Prices'!$B:$B, 0), MATCH($F$10, 'Historical Prices'!$8:$8, 0))</f>
        <v>41.917869318181822</v>
      </c>
      <c r="H17" s="710">
        <f t="shared" si="4"/>
        <v>-1.0391208608446742E-2</v>
      </c>
      <c r="I17" s="674">
        <v>-0.43557732450683651</v>
      </c>
      <c r="J17" s="715">
        <f t="shared" si="0"/>
        <v>0.45924429445963066</v>
      </c>
      <c r="K17" s="674"/>
      <c r="L17" s="710">
        <f t="shared" si="5"/>
        <v>8.6906448398832731E-3</v>
      </c>
      <c r="M17" s="674">
        <v>0.36429331468895826</v>
      </c>
      <c r="N17" s="715">
        <f t="shared" si="1"/>
        <v>0.91523866687882249</v>
      </c>
      <c r="O17" s="674"/>
      <c r="P17" s="710">
        <f t="shared" si="6"/>
        <v>0.16302763804286008</v>
      </c>
      <c r="Q17" s="656">
        <v>6.8337712267324564</v>
      </c>
      <c r="R17" s="716">
        <f t="shared" si="7"/>
        <v>8.520399033020583</v>
      </c>
      <c r="S17" s="710">
        <f t="shared" si="8"/>
        <v>0.10760943419525065</v>
      </c>
      <c r="T17" s="656">
        <v>4.5107582000000033</v>
      </c>
      <c r="U17" s="716">
        <f t="shared" si="9"/>
        <v>4.5886105782715818</v>
      </c>
      <c r="V17" s="1141"/>
    </row>
    <row r="18" spans="1:22">
      <c r="A18" s="711">
        <f t="shared" si="2"/>
        <v>2010</v>
      </c>
      <c r="B18" s="711">
        <f t="shared" si="3"/>
        <v>5</v>
      </c>
      <c r="D18" s="673">
        <v>40299</v>
      </c>
      <c r="E18" s="673"/>
      <c r="F18" s="709">
        <f>INDEX('Historical Prices'!$1:$1048576, MATCH('Margin Forecast'!$D18, 'Historical Prices'!$B:$B, 0), MATCH($F$10, 'Historical Prices'!$8:$8, 0))</f>
        <v>50.701750000000018</v>
      </c>
      <c r="H18" s="710">
        <f t="shared" si="4"/>
        <v>2.1081937034535762E-2</v>
      </c>
      <c r="I18" s="674">
        <v>1.068891101040774</v>
      </c>
      <c r="J18" s="715">
        <f t="shared" si="0"/>
        <v>1.0001499086437335</v>
      </c>
      <c r="K18" s="674"/>
      <c r="L18" s="710">
        <f t="shared" si="5"/>
        <v>4.0607496699057798E-2</v>
      </c>
      <c r="M18" s="674">
        <v>2.0588711457614544</v>
      </c>
      <c r="N18" s="715">
        <f t="shared" si="1"/>
        <v>3.3766917385510502</v>
      </c>
      <c r="O18" s="674"/>
      <c r="P18" s="710">
        <f t="shared" si="6"/>
        <v>0.18605089494190263</v>
      </c>
      <c r="Q18" s="656">
        <v>9.4331059626206155</v>
      </c>
      <c r="R18" s="716">
        <f t="shared" si="7"/>
        <v>7.6684362867950018</v>
      </c>
      <c r="S18" s="710">
        <f t="shared" si="8"/>
        <v>0.11149394856686402</v>
      </c>
      <c r="T18" s="656">
        <v>5.6529383067500003</v>
      </c>
      <c r="U18" s="716">
        <f t="shared" si="9"/>
        <v>5.7601512584639547</v>
      </c>
      <c r="V18" s="1141"/>
    </row>
    <row r="19" spans="1:22">
      <c r="A19" s="711">
        <f t="shared" si="2"/>
        <v>2010</v>
      </c>
      <c r="B19" s="711">
        <f t="shared" si="3"/>
        <v>6</v>
      </c>
      <c r="D19" s="673">
        <v>40330</v>
      </c>
      <c r="E19" s="673"/>
      <c r="F19" s="709">
        <f>INDEX('Historical Prices'!$1:$1048576, MATCH('Margin Forecast'!$D19, 'Historical Prices'!$B:$B, 0), MATCH($F$10, 'Historical Prices'!$8:$8, 0))</f>
        <v>55.856164772727247</v>
      </c>
      <c r="H19" s="710">
        <f t="shared" si="4"/>
        <v>5.8801263494477916E-2</v>
      </c>
      <c r="I19" s="674">
        <v>3.28441306259211</v>
      </c>
      <c r="J19" s="715">
        <f t="shared" si="0"/>
        <v>3.6005562822178963</v>
      </c>
      <c r="K19" s="674"/>
      <c r="L19" s="710">
        <f t="shared" si="5"/>
        <v>3.8439785260943909E-2</v>
      </c>
      <c r="M19" s="674">
        <v>2.1470989793635353</v>
      </c>
      <c r="N19" s="715">
        <f t="shared" si="1"/>
        <v>2.8901692127882881</v>
      </c>
      <c r="O19" s="674"/>
      <c r="P19" s="710">
        <f t="shared" si="6"/>
        <v>0.14089774957819379</v>
      </c>
      <c r="Q19" s="656">
        <v>7.8700079165460526</v>
      </c>
      <c r="R19" s="716">
        <f t="shared" si="7"/>
        <v>7.3416696509447377</v>
      </c>
      <c r="S19" s="710">
        <f t="shared" si="8"/>
        <v>0.10940790873067348</v>
      </c>
      <c r="T19" s="656">
        <v>6.1111061775000017</v>
      </c>
      <c r="U19" s="716">
        <f t="shared" si="9"/>
        <v>5.8823229096014993</v>
      </c>
      <c r="V19" s="1141"/>
    </row>
    <row r="20" spans="1:22">
      <c r="A20" s="711">
        <f t="shared" si="2"/>
        <v>2010</v>
      </c>
      <c r="B20" s="711">
        <f t="shared" si="3"/>
        <v>7</v>
      </c>
      <c r="D20" s="673">
        <v>40360</v>
      </c>
      <c r="E20" s="673"/>
      <c r="F20" s="709">
        <f>INDEX('Historical Prices'!$1:$1048576, MATCH('Margin Forecast'!$D20, 'Historical Prices'!$B:$B, 0), MATCH($F$10, 'Historical Prices'!$8:$8, 0))</f>
        <v>78.244285714285709</v>
      </c>
      <c r="H20" s="710">
        <f t="shared" si="4"/>
        <v>0.1354148474753234</v>
      </c>
      <c r="I20" s="674">
        <v>10.595438015815624</v>
      </c>
      <c r="J20" s="715">
        <f t="shared" si="0"/>
        <v>10.239222314311966</v>
      </c>
      <c r="K20" s="674"/>
      <c r="L20" s="710">
        <f t="shared" si="5"/>
        <v>9.0760327487432402E-2</v>
      </c>
      <c r="M20" s="674">
        <v>7.1014769954487997</v>
      </c>
      <c r="N20" s="715">
        <f t="shared" si="1"/>
        <v>6.5306790864059145</v>
      </c>
      <c r="O20" s="674"/>
      <c r="P20" s="710">
        <f t="shared" si="6"/>
        <v>0.10034695675505143</v>
      </c>
      <c r="Q20" s="656">
        <v>7.8515759549013158</v>
      </c>
      <c r="R20" s="716">
        <f t="shared" si="7"/>
        <v>9.2312250175615986</v>
      </c>
      <c r="S20" s="710">
        <f t="shared" si="8"/>
        <v>0.11656066115553849</v>
      </c>
      <c r="T20" s="656">
        <v>9.1202056744999975</v>
      </c>
      <c r="U20" s="716">
        <f t="shared" si="9"/>
        <v>8.9098603485213133</v>
      </c>
      <c r="V20" s="1141"/>
    </row>
    <row r="21" spans="1:22">
      <c r="A21" s="711">
        <f t="shared" si="2"/>
        <v>2010</v>
      </c>
      <c r="B21" s="711">
        <f t="shared" si="3"/>
        <v>8</v>
      </c>
      <c r="D21" s="673">
        <v>40391</v>
      </c>
      <c r="E21" s="673"/>
      <c r="F21" s="709">
        <f>INDEX('Historical Prices'!$1:$1048576, MATCH('Margin Forecast'!$D21, 'Historical Prices'!$B:$B, 0), MATCH($F$10, 'Historical Prices'!$8:$8, 0))</f>
        <v>66.658835227272704</v>
      </c>
      <c r="H21" s="710">
        <f t="shared" si="4"/>
        <v>0.10255841972216423</v>
      </c>
      <c r="I21" s="674">
        <v>6.8364248014292208</v>
      </c>
      <c r="J21" s="715">
        <f t="shared" si="0"/>
        <v>5.8720460072194465</v>
      </c>
      <c r="K21" s="674"/>
      <c r="L21" s="710">
        <f t="shared" si="5"/>
        <v>8.8764024272270425E-2</v>
      </c>
      <c r="M21" s="674">
        <v>5.9169064680749095</v>
      </c>
      <c r="N21" s="715">
        <f t="shared" si="1"/>
        <v>5.0913964235737552</v>
      </c>
      <c r="O21" s="674"/>
      <c r="P21" s="710">
        <f t="shared" si="6"/>
        <v>0.11118414282337163</v>
      </c>
      <c r="Q21" s="656">
        <v>7.4114054563486844</v>
      </c>
      <c r="R21" s="716">
        <f t="shared" si="7"/>
        <v>7.4020815048304636</v>
      </c>
      <c r="S21" s="710">
        <f t="shared" si="8"/>
        <v>0.10797116489076207</v>
      </c>
      <c r="T21" s="656">
        <v>7.19723208975</v>
      </c>
      <c r="U21" s="716">
        <f t="shared" si="9"/>
        <v>7.3466378343406378</v>
      </c>
      <c r="V21" s="1141"/>
    </row>
    <row r="22" spans="1:22">
      <c r="A22" s="711">
        <f t="shared" si="2"/>
        <v>2010</v>
      </c>
      <c r="B22" s="711">
        <f t="shared" si="3"/>
        <v>9</v>
      </c>
      <c r="D22" s="673">
        <v>40422</v>
      </c>
      <c r="E22" s="673"/>
      <c r="F22" s="709">
        <f>INDEX('Historical Prices'!$1:$1048576, MATCH('Margin Forecast'!$D22, 'Historical Prices'!$B:$B, 0), MATCH($F$10, 'Historical Prices'!$8:$8, 0))</f>
        <v>53.935833333333321</v>
      </c>
      <c r="H22" s="710">
        <f t="shared" si="4"/>
        <v>6.4967286681418365E-2</v>
      </c>
      <c r="I22" s="674">
        <v>3.5040647465678663</v>
      </c>
      <c r="J22" s="715">
        <f t="shared" si="0"/>
        <v>2.3469695814173464</v>
      </c>
      <c r="K22" s="674"/>
      <c r="L22" s="710">
        <f t="shared" si="5"/>
        <v>4.5440432117910087E-2</v>
      </c>
      <c r="M22" s="674">
        <v>2.4508675733062448</v>
      </c>
      <c r="N22" s="715">
        <f t="shared" si="1"/>
        <v>2.285693867925894</v>
      </c>
      <c r="O22" s="674"/>
      <c r="P22" s="710">
        <f t="shared" si="6"/>
        <v>0.17724281952441867</v>
      </c>
      <c r="Q22" s="656">
        <v>9.559739173399123</v>
      </c>
      <c r="R22" s="716">
        <f t="shared" si="7"/>
        <v>8.4991932148437446</v>
      </c>
      <c r="S22" s="710">
        <f t="shared" si="8"/>
        <v>0.10024979816912059</v>
      </c>
      <c r="T22" s="656">
        <v>5.4070564057499926</v>
      </c>
      <c r="U22" s="716">
        <f t="shared" si="9"/>
        <v>5.4410203662851604</v>
      </c>
      <c r="V22" s="1141"/>
    </row>
    <row r="23" spans="1:22">
      <c r="A23" s="711">
        <f t="shared" si="2"/>
        <v>2010</v>
      </c>
      <c r="B23" s="711">
        <f t="shared" si="3"/>
        <v>10</v>
      </c>
      <c r="D23" s="673">
        <v>40452</v>
      </c>
      <c r="E23" s="673"/>
      <c r="F23" s="709">
        <f>INDEX('Historical Prices'!$1:$1048576, MATCH('Margin Forecast'!$D23, 'Historical Prices'!$B:$B, 0), MATCH($F$10, 'Historical Prices'!$8:$8, 0))</f>
        <v>40.945505952380955</v>
      </c>
      <c r="H23" s="710">
        <f t="shared" si="4"/>
        <v>-9.7370066010901857E-3</v>
      </c>
      <c r="I23" s="674">
        <v>-0.39868666174331086</v>
      </c>
      <c r="J23" s="715">
        <f t="shared" si="0"/>
        <v>0.92545508426455314</v>
      </c>
      <c r="K23" s="674"/>
      <c r="L23" s="710">
        <f t="shared" si="5"/>
        <v>1.7106676190356798E-2</v>
      </c>
      <c r="M23" s="674">
        <v>0.70044151177770786</v>
      </c>
      <c r="N23" s="715">
        <f t="shared" si="1"/>
        <v>0.84298309308803665</v>
      </c>
      <c r="O23" s="674"/>
      <c r="P23" s="710">
        <f t="shared" si="6"/>
        <v>0.25645393902028635</v>
      </c>
      <c r="Q23" s="656">
        <v>10.500636286666676</v>
      </c>
      <c r="R23" s="716">
        <f t="shared" si="7"/>
        <v>9.395113915913754</v>
      </c>
      <c r="S23" s="710">
        <f t="shared" si="8"/>
        <v>9.7665285096262475E-2</v>
      </c>
      <c r="T23" s="656">
        <v>3.9989545122499979</v>
      </c>
      <c r="U23" s="716">
        <f t="shared" si="9"/>
        <v>3.9810131298808598</v>
      </c>
      <c r="V23" s="1141"/>
    </row>
    <row r="24" spans="1:22">
      <c r="A24" s="711">
        <f t="shared" si="2"/>
        <v>2010</v>
      </c>
      <c r="B24" s="711">
        <f t="shared" si="3"/>
        <v>11</v>
      </c>
      <c r="D24" s="673">
        <v>40483</v>
      </c>
      <c r="E24" s="673"/>
      <c r="F24" s="709">
        <f>INDEX('Historical Prices'!$1:$1048576, MATCH('Margin Forecast'!$D24, 'Historical Prices'!$B:$B, 0), MATCH($F$10, 'Historical Prices'!$8:$8, 0))</f>
        <v>48.280238095238062</v>
      </c>
      <c r="H24" s="710">
        <f t="shared" si="4"/>
        <v>5.2819527773682144E-2</v>
      </c>
      <c r="I24" s="674">
        <v>2.5501393769914134</v>
      </c>
      <c r="J24" s="715">
        <f t="shared" si="0"/>
        <v>3.0595549850360952</v>
      </c>
      <c r="K24" s="674"/>
      <c r="L24" s="710">
        <f t="shared" si="5"/>
        <v>2.3078588878000517E-2</v>
      </c>
      <c r="M24" s="674">
        <v>1.114239765931978</v>
      </c>
      <c r="N24" s="715">
        <f t="shared" si="1"/>
        <v>1.8158164985445091</v>
      </c>
      <c r="O24" s="674"/>
      <c r="P24" s="710">
        <f t="shared" si="6"/>
        <v>0.20589538091779863</v>
      </c>
      <c r="Q24" s="656">
        <v>9.9406780134210528</v>
      </c>
      <c r="R24" s="716">
        <f t="shared" si="7"/>
        <v>10.110020089160756</v>
      </c>
      <c r="S24" s="710">
        <f t="shared" si="8"/>
        <v>7.1722035844548532E-2</v>
      </c>
      <c r="T24" s="656">
        <v>3.4627569672500016</v>
      </c>
      <c r="U24" s="716">
        <f t="shared" si="9"/>
        <v>3.3550545422357128</v>
      </c>
      <c r="V24" s="1141"/>
    </row>
    <row r="25" spans="1:22">
      <c r="A25" s="711">
        <f t="shared" si="2"/>
        <v>2010</v>
      </c>
      <c r="B25" s="711">
        <f t="shared" si="3"/>
        <v>12</v>
      </c>
      <c r="D25" s="673">
        <v>40513</v>
      </c>
      <c r="E25" s="673"/>
      <c r="F25" s="709">
        <f>INDEX('Historical Prices'!$1:$1048576, MATCH('Margin Forecast'!$D25, 'Historical Prices'!$B:$B, 0), MATCH($F$10, 'Historical Prices'!$8:$8, 0))</f>
        <v>73.17258152173909</v>
      </c>
      <c r="H25" s="710">
        <f t="shared" si="4"/>
        <v>0.11199589810371302</v>
      </c>
      <c r="I25" s="674">
        <v>8.1950289840943249</v>
      </c>
      <c r="J25" s="715">
        <f t="shared" si="0"/>
        <v>5.0535031651338276</v>
      </c>
      <c r="K25" s="674"/>
      <c r="L25" s="710">
        <f t="shared" si="5"/>
        <v>3.9245789014320846E-2</v>
      </c>
      <c r="M25" s="674">
        <v>2.8717156960353645</v>
      </c>
      <c r="N25" s="715">
        <f t="shared" si="1"/>
        <v>2.0647137686547721</v>
      </c>
      <c r="O25" s="674"/>
      <c r="P25" s="710">
        <f t="shared" si="6"/>
        <v>0.25232444453604436</v>
      </c>
      <c r="Q25" s="656">
        <v>18.463230987741237</v>
      </c>
      <c r="R25" s="716">
        <f t="shared" si="7"/>
        <v>17.69408931939185</v>
      </c>
      <c r="S25" s="710">
        <f t="shared" si="8"/>
        <v>6.5644224101522999E-2</v>
      </c>
      <c r="T25" s="656">
        <v>4.8033573395000015</v>
      </c>
      <c r="U25" s="716">
        <f t="shared" si="9"/>
        <v>4.80558563014743</v>
      </c>
      <c r="V25" s="1141"/>
    </row>
    <row r="26" spans="1:22">
      <c r="A26" s="711">
        <f t="shared" si="2"/>
        <v>2011</v>
      </c>
      <c r="B26" s="711">
        <f t="shared" si="3"/>
        <v>1</v>
      </c>
      <c r="D26" s="673">
        <v>40544</v>
      </c>
      <c r="E26" s="673"/>
      <c r="F26" s="709">
        <f>INDEX('Historical Prices'!$1:$1048576, MATCH('Margin Forecast'!$D26, 'Historical Prices'!$B:$B, 0), MATCH($F$10, 'Historical Prices'!$8:$8, 0))</f>
        <v>78.56761904761909</v>
      </c>
      <c r="H26" s="710">
        <f t="shared" si="4"/>
        <v>0.12352118316506788</v>
      </c>
      <c r="I26" s="674">
        <v>9.7047652632242336</v>
      </c>
      <c r="J26" s="715">
        <f t="shared" si="0"/>
        <v>6.6143060376114109</v>
      </c>
      <c r="K26" s="674"/>
      <c r="L26" s="710">
        <f t="shared" si="5"/>
        <v>6.1596784758100182E-2</v>
      </c>
      <c r="M26" s="674">
        <v>4.8395127194326051</v>
      </c>
      <c r="N26" s="715">
        <f t="shared" si="1"/>
        <v>2.9062600839460719</v>
      </c>
      <c r="O26" s="674"/>
      <c r="P26" s="710">
        <f t="shared" si="6"/>
        <v>0.19396673868994199</v>
      </c>
      <c r="Q26" s="656">
        <v>15.23950483330044</v>
      </c>
      <c r="R26" s="716">
        <f t="shared" si="7"/>
        <v>18.590946995669892</v>
      </c>
      <c r="S26" s="710">
        <f t="shared" si="8"/>
        <v>8.1237913498836287E-2</v>
      </c>
      <c r="T26" s="656">
        <v>6.3826694400000017</v>
      </c>
      <c r="U26" s="716">
        <f t="shared" si="9"/>
        <v>6.2309743226341725</v>
      </c>
      <c r="V26" s="1141"/>
    </row>
    <row r="27" spans="1:22">
      <c r="A27" s="711">
        <f t="shared" si="2"/>
        <v>2011</v>
      </c>
      <c r="B27" s="711">
        <f t="shared" si="3"/>
        <v>2</v>
      </c>
      <c r="D27" s="673">
        <v>40575</v>
      </c>
      <c r="E27" s="673"/>
      <c r="F27" s="709">
        <f>INDEX('Historical Prices'!$1:$1048576, MATCH('Margin Forecast'!$D27, 'Historical Prices'!$B:$B, 0), MATCH($F$10, 'Historical Prices'!$8:$8, 0))</f>
        <v>64.185781249999977</v>
      </c>
      <c r="H27" s="710">
        <f t="shared" si="4"/>
        <v>7.3221175652236251E-2</v>
      </c>
      <c r="I27" s="674">
        <v>4.6997583632822604</v>
      </c>
      <c r="J27" s="715">
        <f t="shared" si="0"/>
        <v>2.5202536247881171</v>
      </c>
      <c r="K27" s="674"/>
      <c r="L27" s="710">
        <f t="shared" si="5"/>
        <v>4.5976699221381333E-2</v>
      </c>
      <c r="M27" s="674">
        <v>2.9510503588206265</v>
      </c>
      <c r="N27" s="715">
        <f t="shared" si="1"/>
        <v>1.9090545138703292</v>
      </c>
      <c r="O27" s="674"/>
      <c r="P27" s="710">
        <f t="shared" si="6"/>
        <v>0.26986338493031797</v>
      </c>
      <c r="Q27" s="656">
        <v>17.32139219252193</v>
      </c>
      <c r="R27" s="716">
        <f t="shared" si="7"/>
        <v>16.175872807689455</v>
      </c>
      <c r="S27" s="710">
        <f t="shared" si="8"/>
        <v>8.585957502075281E-2</v>
      </c>
      <c r="T27" s="656">
        <v>5.510963900500002</v>
      </c>
      <c r="U27" s="716">
        <f t="shared" si="9"/>
        <v>5.8346665457557547</v>
      </c>
      <c r="V27" s="1141"/>
    </row>
    <row r="28" spans="1:22">
      <c r="A28" s="711">
        <f t="shared" si="2"/>
        <v>2011</v>
      </c>
      <c r="B28" s="711">
        <f t="shared" si="3"/>
        <v>3</v>
      </c>
      <c r="D28" s="673">
        <v>40603</v>
      </c>
      <c r="E28" s="673"/>
      <c r="F28" s="709">
        <f>INDEX('Historical Prices'!$1:$1048576, MATCH('Margin Forecast'!$D28, 'Historical Prices'!$B:$B, 0), MATCH($F$10, 'Historical Prices'!$8:$8, 0))</f>
        <v>52.265978260869538</v>
      </c>
      <c r="H28" s="710">
        <f t="shared" si="4"/>
        <v>5.3683139496306542E-2</v>
      </c>
      <c r="I28" s="674">
        <v>2.8058018018891846</v>
      </c>
      <c r="J28" s="715">
        <f t="shared" si="0"/>
        <v>0.52809496535243672</v>
      </c>
      <c r="K28" s="674"/>
      <c r="L28" s="710">
        <f t="shared" si="5"/>
        <v>3.4276827119087541E-2</v>
      </c>
      <c r="M28" s="674">
        <v>1.7915119010578129</v>
      </c>
      <c r="N28" s="715">
        <f t="shared" si="1"/>
        <v>0.87490155851047535</v>
      </c>
      <c r="O28" s="674"/>
      <c r="P28" s="710">
        <f t="shared" si="6"/>
        <v>0.24265782889335216</v>
      </c>
      <c r="Q28" s="656">
        <v>12.682748809769745</v>
      </c>
      <c r="R28" s="716">
        <f t="shared" si="7"/>
        <v>12.155788552331352</v>
      </c>
      <c r="S28" s="710">
        <f t="shared" si="8"/>
        <v>0.11262296003760039</v>
      </c>
      <c r="T28" s="656">
        <v>5.8863491810000008</v>
      </c>
      <c r="U28" s="716">
        <f t="shared" si="9"/>
        <v>5.7821211802771835</v>
      </c>
      <c r="V28" s="1141"/>
    </row>
    <row r="29" spans="1:22">
      <c r="A29" s="711">
        <f t="shared" si="2"/>
        <v>2011</v>
      </c>
      <c r="B29" s="711">
        <f t="shared" si="3"/>
        <v>4</v>
      </c>
      <c r="D29" s="673">
        <v>40634</v>
      </c>
      <c r="E29" s="673"/>
      <c r="F29" s="709">
        <f>INDEX('Historical Prices'!$1:$1048576, MATCH('Margin Forecast'!$D29, 'Historical Prices'!$B:$B, 0), MATCH($F$10, 'Historical Prices'!$8:$8, 0))</f>
        <v>48.260148809523805</v>
      </c>
      <c r="H29" s="710">
        <f t="shared" si="4"/>
        <v>2.5077041869646467E-2</v>
      </c>
      <c r="I29" s="674">
        <v>1.2102217723317976</v>
      </c>
      <c r="J29" s="715">
        <f t="shared" si="0"/>
        <v>0.52872911603198514</v>
      </c>
      <c r="K29" s="674"/>
      <c r="L29" s="710">
        <f t="shared" si="5"/>
        <v>1.9058315338030613E-2</v>
      </c>
      <c r="M29" s="674">
        <v>0.9197571342721873</v>
      </c>
      <c r="N29" s="715">
        <f t="shared" si="1"/>
        <v>1.0537165886111408</v>
      </c>
      <c r="O29" s="674"/>
      <c r="P29" s="710">
        <f t="shared" si="6"/>
        <v>0.2332411013216181</v>
      </c>
      <c r="Q29" s="656">
        <v>11.256250258278509</v>
      </c>
      <c r="R29" s="716">
        <f t="shared" si="7"/>
        <v>9.8095569249685237</v>
      </c>
      <c r="S29" s="710">
        <f t="shared" si="8"/>
        <v>0.10894185578459016</v>
      </c>
      <c r="T29" s="656">
        <v>5.2575501717500028</v>
      </c>
      <c r="U29" s="716">
        <f t="shared" si="9"/>
        <v>5.2828789472915618</v>
      </c>
      <c r="V29" s="1141"/>
    </row>
    <row r="30" spans="1:22">
      <c r="A30" s="711">
        <f t="shared" si="2"/>
        <v>2011</v>
      </c>
      <c r="B30" s="711">
        <f t="shared" si="3"/>
        <v>5</v>
      </c>
      <c r="D30" s="673">
        <v>40664</v>
      </c>
      <c r="E30" s="673"/>
      <c r="F30" s="709">
        <f>INDEX('Historical Prices'!$1:$1048576, MATCH('Margin Forecast'!$D30, 'Historical Prices'!$B:$B, 0), MATCH($F$10, 'Historical Prices'!$8:$8, 0))</f>
        <v>48.202738095238089</v>
      </c>
      <c r="H30" s="710">
        <f t="shared" si="4"/>
        <v>1.9942479286407345E-2</v>
      </c>
      <c r="I30" s="674">
        <v>0.96128210601240383</v>
      </c>
      <c r="J30" s="715">
        <f t="shared" si="0"/>
        <v>0.95085404551776176</v>
      </c>
      <c r="K30" s="674"/>
      <c r="L30" s="710">
        <f t="shared" si="5"/>
        <v>1.7417514493355539E-2</v>
      </c>
      <c r="M30" s="674">
        <v>0.83957188939323057</v>
      </c>
      <c r="N30" s="715">
        <f t="shared" si="1"/>
        <v>3.2102597543818581</v>
      </c>
      <c r="O30" s="674"/>
      <c r="P30" s="710">
        <f t="shared" si="6"/>
        <v>0.13661784676912223</v>
      </c>
      <c r="Q30" s="656">
        <v>6.5853542869473678</v>
      </c>
      <c r="R30" s="716">
        <f t="shared" si="7"/>
        <v>7.2904707615101936</v>
      </c>
      <c r="S30" s="710">
        <f t="shared" si="8"/>
        <v>0.11427127091031686</v>
      </c>
      <c r="T30" s="656">
        <v>5.5081881435000026</v>
      </c>
      <c r="U30" s="716">
        <f t="shared" si="9"/>
        <v>5.4762421908650882</v>
      </c>
      <c r="V30" s="1141"/>
    </row>
    <row r="31" spans="1:22">
      <c r="A31" s="711">
        <f t="shared" si="2"/>
        <v>2011</v>
      </c>
      <c r="B31" s="711">
        <f t="shared" si="3"/>
        <v>6</v>
      </c>
      <c r="D31" s="673">
        <v>40695</v>
      </c>
      <c r="E31" s="673"/>
      <c r="F31" s="709">
        <f>INDEX('Historical Prices'!$1:$1048576, MATCH('Margin Forecast'!$D31, 'Historical Prices'!$B:$B, 0), MATCH($F$10, 'Historical Prices'!$8:$8, 0))</f>
        <v>51.438068181818196</v>
      </c>
      <c r="H31" s="710">
        <f t="shared" si="4"/>
        <v>3.7328118004007239E-2</v>
      </c>
      <c r="I31" s="674">
        <v>1.9200862789890798</v>
      </c>
      <c r="J31" s="715">
        <f t="shared" si="0"/>
        <v>3.3157604051545606</v>
      </c>
      <c r="K31" s="674"/>
      <c r="L31" s="710">
        <f t="shared" si="5"/>
        <v>5.0626416774861252E-2</v>
      </c>
      <c r="M31" s="674">
        <v>2.6041250778664575</v>
      </c>
      <c r="N31" s="715">
        <f t="shared" si="1"/>
        <v>2.6615633498879956</v>
      </c>
      <c r="O31" s="674"/>
      <c r="P31" s="710">
        <f t="shared" si="6"/>
        <v>0.12320818875133907</v>
      </c>
      <c r="Q31" s="656">
        <v>6.3375912135497048</v>
      </c>
      <c r="R31" s="716">
        <f t="shared" si="7"/>
        <v>6.7609601484502706</v>
      </c>
      <c r="S31" s="710">
        <f t="shared" si="8"/>
        <v>0.10983668843335433</v>
      </c>
      <c r="T31" s="656">
        <v>5.649787068500002</v>
      </c>
      <c r="U31" s="716">
        <f t="shared" si="9"/>
        <v>5.4170444412483336</v>
      </c>
      <c r="V31" s="1141"/>
    </row>
    <row r="32" spans="1:22">
      <c r="A32" s="711">
        <f t="shared" si="2"/>
        <v>2011</v>
      </c>
      <c r="B32" s="711">
        <f t="shared" si="3"/>
        <v>7</v>
      </c>
      <c r="D32" s="673">
        <v>40725</v>
      </c>
      <c r="E32" s="673"/>
      <c r="F32" s="709">
        <f>INDEX('Historical Prices'!$1:$1048576, MATCH('Margin Forecast'!$D32, 'Historical Prices'!$B:$B, 0), MATCH($F$10, 'Historical Prices'!$8:$8, 0))</f>
        <v>71.631281250000001</v>
      </c>
      <c r="H32" s="710">
        <f t="shared" si="4"/>
        <v>0.11958168031113892</v>
      </c>
      <c r="I32" s="674">
        <v>8.5657889747147795</v>
      </c>
      <c r="J32" s="715">
        <f t="shared" si="0"/>
        <v>9.3738297523220222</v>
      </c>
      <c r="K32" s="674"/>
      <c r="L32" s="710">
        <f t="shared" si="5"/>
        <v>8.9305018705496592E-2</v>
      </c>
      <c r="M32" s="674">
        <v>6.3970329119299372</v>
      </c>
      <c r="N32" s="715">
        <f t="shared" si="1"/>
        <v>5.9787229971022002</v>
      </c>
      <c r="O32" s="674"/>
      <c r="P32" s="710">
        <f t="shared" si="6"/>
        <v>0.1325555392469728</v>
      </c>
      <c r="Q32" s="656">
        <v>9.495123113045322</v>
      </c>
      <c r="R32" s="716">
        <f t="shared" si="7"/>
        <v>8.4510257775190123</v>
      </c>
      <c r="S32" s="710">
        <f t="shared" si="8"/>
        <v>0.11188756074358225</v>
      </c>
      <c r="T32" s="656">
        <v>8.0146493319999994</v>
      </c>
      <c r="U32" s="716">
        <f t="shared" si="9"/>
        <v>8.1568220183346529</v>
      </c>
      <c r="V32" s="1141"/>
    </row>
    <row r="33" spans="1:22">
      <c r="A33" s="711">
        <f t="shared" si="2"/>
        <v>2011</v>
      </c>
      <c r="B33" s="711">
        <f t="shared" si="3"/>
        <v>8</v>
      </c>
      <c r="D33" s="673">
        <v>40756</v>
      </c>
      <c r="E33" s="673"/>
      <c r="F33" s="709">
        <f>INDEX('Historical Prices'!$1:$1048576, MATCH('Margin Forecast'!$D33, 'Historical Prices'!$B:$B, 0), MATCH($F$10, 'Historical Prices'!$8:$8, 0))</f>
        <v>49.298342391304359</v>
      </c>
      <c r="H33" s="710">
        <f t="shared" si="4"/>
        <v>5.7826092177859764E-2</v>
      </c>
      <c r="I33" s="674">
        <v>2.8507304913352574</v>
      </c>
      <c r="J33" s="715">
        <f t="shared" si="0"/>
        <v>4.3427421678523066</v>
      </c>
      <c r="K33" s="674"/>
      <c r="L33" s="710">
        <f t="shared" si="5"/>
        <v>4.4327389903868739E-2</v>
      </c>
      <c r="M33" s="674">
        <v>2.1852668447937691</v>
      </c>
      <c r="N33" s="715">
        <f t="shared" si="1"/>
        <v>3.7654033900146628</v>
      </c>
      <c r="O33" s="674"/>
      <c r="P33" s="710">
        <f t="shared" si="6"/>
        <v>0.11271729646408803</v>
      </c>
      <c r="Q33" s="656">
        <v>5.5567758745087721</v>
      </c>
      <c r="R33" s="716">
        <f t="shared" si="7"/>
        <v>5.4742983010326398</v>
      </c>
      <c r="S33" s="710">
        <f t="shared" si="8"/>
        <v>0.11421583747799971</v>
      </c>
      <c r="T33" s="656">
        <v>5.6306514625000021</v>
      </c>
      <c r="U33" s="716">
        <f t="shared" si="9"/>
        <v>5.4332942684551275</v>
      </c>
      <c r="V33" s="1141"/>
    </row>
    <row r="34" spans="1:22">
      <c r="A34" s="711">
        <f t="shared" si="2"/>
        <v>2011</v>
      </c>
      <c r="B34" s="711">
        <f t="shared" si="3"/>
        <v>9</v>
      </c>
      <c r="D34" s="673">
        <v>40787</v>
      </c>
      <c r="E34" s="673"/>
      <c r="F34" s="709">
        <f>INDEX('Historical Prices'!$1:$1048576, MATCH('Margin Forecast'!$D34, 'Historical Prices'!$B:$B, 0), MATCH($F$10, 'Historical Prices'!$8:$8, 0))</f>
        <v>45.796696428571423</v>
      </c>
      <c r="H34" s="710">
        <f t="shared" si="4"/>
        <v>3.2988462328321991E-2</v>
      </c>
      <c r="I34" s="674">
        <v>1.5107625948955266</v>
      </c>
      <c r="J34" s="715">
        <f t="shared" si="0"/>
        <v>1.9928023135008248</v>
      </c>
      <c r="K34" s="674"/>
      <c r="L34" s="710">
        <f t="shared" si="5"/>
        <v>4.0792546109815656E-2</v>
      </c>
      <c r="M34" s="674">
        <v>1.8681638507397298</v>
      </c>
      <c r="N34" s="715">
        <f t="shared" si="1"/>
        <v>1.9407733547218038</v>
      </c>
      <c r="O34" s="674"/>
      <c r="P34" s="710">
        <f t="shared" si="6"/>
        <v>0.13218817387219062</v>
      </c>
      <c r="Q34" s="656">
        <v>6.0537816702719303</v>
      </c>
      <c r="R34" s="716">
        <f t="shared" si="7"/>
        <v>7.2166303455891683</v>
      </c>
      <c r="S34" s="710">
        <f t="shared" si="8"/>
        <v>0.10162152461168643</v>
      </c>
      <c r="T34" s="656">
        <v>4.6539301132500031</v>
      </c>
      <c r="U34" s="716">
        <f t="shared" si="9"/>
        <v>4.6199482343482723</v>
      </c>
      <c r="V34" s="1141"/>
    </row>
    <row r="35" spans="1:22">
      <c r="A35" s="711">
        <f t="shared" si="2"/>
        <v>2011</v>
      </c>
      <c r="B35" s="711">
        <f t="shared" si="3"/>
        <v>10</v>
      </c>
      <c r="D35" s="673">
        <v>40817</v>
      </c>
      <c r="E35" s="673"/>
      <c r="F35" s="709">
        <f>INDEX('Historical Prices'!$1:$1048576, MATCH('Margin Forecast'!$D35, 'Historical Prices'!$B:$B, 0), MATCH($F$10, 'Historical Prices'!$8:$8, 0))</f>
        <v>46.325535714285721</v>
      </c>
      <c r="H35" s="710">
        <f t="shared" si="4"/>
        <v>4.339196819310602E-2</v>
      </c>
      <c r="I35" s="674">
        <v>2.0101561722428829</v>
      </c>
      <c r="J35" s="715">
        <f t="shared" si="0"/>
        <v>1.0470551422157202</v>
      </c>
      <c r="K35" s="674"/>
      <c r="L35" s="710">
        <f t="shared" si="5"/>
        <v>2.2846400034796252E-2</v>
      </c>
      <c r="M35" s="674">
        <v>1.0583717207548122</v>
      </c>
      <c r="N35" s="715">
        <f t="shared" si="1"/>
        <v>0.95374675381482399</v>
      </c>
      <c r="O35" s="674"/>
      <c r="P35" s="710">
        <f t="shared" si="6"/>
        <v>0.21331331896940528</v>
      </c>
      <c r="Q35" s="656">
        <v>9.881853776250006</v>
      </c>
      <c r="R35" s="716">
        <f t="shared" si="7"/>
        <v>10.629583763297882</v>
      </c>
      <c r="S35" s="710">
        <f t="shared" si="8"/>
        <v>9.6949907054501711E-2</v>
      </c>
      <c r="T35" s="656">
        <v>4.4912563817500004</v>
      </c>
      <c r="U35" s="716">
        <f t="shared" si="9"/>
        <v>4.5040978646549634</v>
      </c>
      <c r="V35" s="1141"/>
    </row>
    <row r="36" spans="1:22">
      <c r="A36" s="711">
        <f t="shared" si="2"/>
        <v>2011</v>
      </c>
      <c r="B36" s="711">
        <f t="shared" si="3"/>
        <v>11</v>
      </c>
      <c r="D36" s="673">
        <v>40848</v>
      </c>
      <c r="E36" s="673"/>
      <c r="F36" s="709">
        <f>INDEX('Historical Prices'!$1:$1048576, MATCH('Margin Forecast'!$D36, 'Historical Prices'!$B:$B, 0), MATCH($F$10, 'Historical Prices'!$8:$8, 0))</f>
        <v>40.098660714285714</v>
      </c>
      <c r="H36" s="710">
        <f t="shared" si="4"/>
        <v>2.0149684734718475E-2</v>
      </c>
      <c r="I36" s="674">
        <v>0.80797537167729827</v>
      </c>
      <c r="J36" s="715">
        <f t="shared" si="0"/>
        <v>2.5410822755193574</v>
      </c>
      <c r="K36" s="674"/>
      <c r="L36" s="710">
        <f t="shared" si="5"/>
        <v>3.9079059259334983E-2</v>
      </c>
      <c r="M36" s="674">
        <v>1.5670179382735392</v>
      </c>
      <c r="N36" s="715">
        <f t="shared" si="1"/>
        <v>1.5081079250460461</v>
      </c>
      <c r="O36" s="674"/>
      <c r="P36" s="710">
        <f t="shared" si="6"/>
        <v>0.23579447279653731</v>
      </c>
      <c r="Q36" s="656">
        <v>9.4550425629722223</v>
      </c>
      <c r="R36" s="716">
        <f t="shared" si="7"/>
        <v>8.3967743607680081</v>
      </c>
      <c r="S36" s="710">
        <f t="shared" si="8"/>
        <v>7.147815764153144E-2</v>
      </c>
      <c r="T36" s="656">
        <v>2.8661783917499979</v>
      </c>
      <c r="U36" s="716">
        <f t="shared" si="9"/>
        <v>2.7865064273637494</v>
      </c>
      <c r="V36" s="1141"/>
    </row>
    <row r="37" spans="1:22">
      <c r="A37" s="711">
        <f t="shared" si="2"/>
        <v>2011</v>
      </c>
      <c r="B37" s="711">
        <f t="shared" si="3"/>
        <v>12</v>
      </c>
      <c r="D37" s="673">
        <v>40878</v>
      </c>
      <c r="E37" s="673"/>
      <c r="F37" s="709">
        <f>INDEX('Historical Prices'!$1:$1048576, MATCH('Margin Forecast'!$D37, 'Historical Prices'!$B:$B, 0), MATCH($F$10, 'Historical Prices'!$8:$8, 0))</f>
        <v>39.908392857142836</v>
      </c>
      <c r="H37" s="710">
        <f t="shared" si="4"/>
        <v>1.9917305615189902E-2</v>
      </c>
      <c r="I37" s="674">
        <v>0.79486765714677565</v>
      </c>
      <c r="J37" s="715">
        <f t="shared" si="0"/>
        <v>2.7561852462326835</v>
      </c>
      <c r="K37" s="674"/>
      <c r="L37" s="710">
        <f t="shared" si="5"/>
        <v>2.601892272465588E-2</v>
      </c>
      <c r="M37" s="674">
        <v>1.0383733898152081</v>
      </c>
      <c r="N37" s="715">
        <f t="shared" si="1"/>
        <v>1.126096777008561</v>
      </c>
      <c r="O37" s="674"/>
      <c r="P37" s="710">
        <f t="shared" si="6"/>
        <v>0.2349746130099854</v>
      </c>
      <c r="Q37" s="656">
        <v>9.3774591674576033</v>
      </c>
      <c r="R37" s="716">
        <f t="shared" si="7"/>
        <v>9.6503724909291968</v>
      </c>
      <c r="S37" s="710">
        <f t="shared" si="8"/>
        <v>6.230143123403159E-2</v>
      </c>
      <c r="T37" s="656">
        <v>2.4863499932500019</v>
      </c>
      <c r="U37" s="716">
        <f t="shared" si="9"/>
        <v>2.6209707960021396</v>
      </c>
      <c r="V37" s="1141"/>
    </row>
    <row r="38" spans="1:22">
      <c r="A38" s="711">
        <f t="shared" si="2"/>
        <v>2012</v>
      </c>
      <c r="B38" s="711">
        <f t="shared" si="3"/>
        <v>1</v>
      </c>
      <c r="D38" s="673">
        <v>40909</v>
      </c>
      <c r="E38" s="673"/>
      <c r="F38" s="709">
        <f>INDEX('Historical Prices'!$1:$1048576, MATCH('Margin Forecast'!$D38, 'Historical Prices'!$B:$B, 0), MATCH($F$10, 'Historical Prices'!$8:$8, 0))</f>
        <v>44.846755952380953</v>
      </c>
      <c r="H38" s="710">
        <f t="shared" si="4"/>
        <v>6.8661354490432203E-2</v>
      </c>
      <c r="I38" s="674">
        <v>3.0792390081923293</v>
      </c>
      <c r="J38" s="715">
        <f t="shared" si="0"/>
        <v>3.7754761090995275</v>
      </c>
      <c r="K38" s="674"/>
      <c r="L38" s="710">
        <f t="shared" si="5"/>
        <v>1.2835596417080446E-2</v>
      </c>
      <c r="M38" s="674">
        <v>0.57563486002006214</v>
      </c>
      <c r="N38" s="715">
        <f t="shared" si="1"/>
        <v>1.658906535526806</v>
      </c>
      <c r="O38" s="674"/>
      <c r="P38" s="710">
        <f t="shared" si="6"/>
        <v>0.22960802543834793</v>
      </c>
      <c r="Q38" s="656">
        <v>10.297175081541667</v>
      </c>
      <c r="R38" s="716">
        <f t="shared" si="7"/>
        <v>10.611797492973961</v>
      </c>
      <c r="S38" s="710">
        <f t="shared" si="8"/>
        <v>7.7746295193619058E-2</v>
      </c>
      <c r="T38" s="656">
        <v>3.4866691267500021</v>
      </c>
      <c r="U38" s="716">
        <f t="shared" si="9"/>
        <v>3.5566686146281414</v>
      </c>
      <c r="V38" s="1141"/>
    </row>
    <row r="39" spans="1:22">
      <c r="A39" s="711">
        <f t="shared" si="2"/>
        <v>2012</v>
      </c>
      <c r="B39" s="711">
        <f t="shared" si="3"/>
        <v>2</v>
      </c>
      <c r="D39" s="673">
        <v>40940</v>
      </c>
      <c r="E39" s="673"/>
      <c r="F39" s="709">
        <f>INDEX('Historical Prices'!$1:$1048576, MATCH('Margin Forecast'!$D39, 'Historical Prices'!$B:$B, 0), MATCH($F$10, 'Historical Prices'!$8:$8, 0))</f>
        <v>32.805327380952413</v>
      </c>
      <c r="H39" s="710">
        <f t="shared" si="4"/>
        <v>1.7155140663819169E-2</v>
      </c>
      <c r="I39" s="674">
        <v>0.56278000574287712</v>
      </c>
      <c r="J39" s="715">
        <f t="shared" si="0"/>
        <v>1.2881006296734328</v>
      </c>
      <c r="K39" s="674"/>
      <c r="L39" s="710">
        <f t="shared" si="5"/>
        <v>1.5096367441070804E-2</v>
      </c>
      <c r="M39" s="674">
        <v>0.49524127616747859</v>
      </c>
      <c r="N39" s="715">
        <f t="shared" si="1"/>
        <v>0.97571700610251788</v>
      </c>
      <c r="O39" s="674"/>
      <c r="P39" s="710">
        <f t="shared" si="6"/>
        <v>0.242039593668987</v>
      </c>
      <c r="Q39" s="656">
        <v>7.9401881094638158</v>
      </c>
      <c r="R39" s="716">
        <f t="shared" si="7"/>
        <v>8.2674821867794694</v>
      </c>
      <c r="S39" s="710">
        <f t="shared" si="8"/>
        <v>9.1389396756660621E-2</v>
      </c>
      <c r="T39" s="656">
        <v>2.9980590797500022</v>
      </c>
      <c r="U39" s="716">
        <f t="shared" si="9"/>
        <v>2.9820957611575127</v>
      </c>
      <c r="V39" s="1141"/>
    </row>
    <row r="40" spans="1:22">
      <c r="A40" s="711">
        <f t="shared" si="2"/>
        <v>2012</v>
      </c>
      <c r="B40" s="711">
        <f t="shared" si="3"/>
        <v>3</v>
      </c>
      <c r="D40" s="673">
        <v>40969</v>
      </c>
      <c r="E40" s="673"/>
      <c r="F40" s="709">
        <f>INDEX('Historical Prices'!$1:$1048576, MATCH('Margin Forecast'!$D40, 'Historical Prices'!$B:$B, 0), MATCH($F$10, 'Historical Prices'!$8:$8, 0))</f>
        <v>28.990369318181799</v>
      </c>
      <c r="H40" s="710">
        <f t="shared" si="4"/>
        <v>4.4507688164582811E-3</v>
      </c>
      <c r="I40" s="674">
        <v>0.12902943173897247</v>
      </c>
      <c r="J40" s="715">
        <f t="shared" si="0"/>
        <v>0.29291842590654416</v>
      </c>
      <c r="K40" s="674"/>
      <c r="L40" s="710">
        <f t="shared" si="5"/>
        <v>-1.1817319712839473E-3</v>
      </c>
      <c r="M40" s="674">
        <v>-3.4258846282624641E-2</v>
      </c>
      <c r="N40" s="715">
        <f t="shared" si="1"/>
        <v>0.48528163333471586</v>
      </c>
      <c r="O40" s="674"/>
      <c r="P40" s="710">
        <f t="shared" si="6"/>
        <v>0.2031727441921409</v>
      </c>
      <c r="Q40" s="656">
        <v>5.8900528895186408</v>
      </c>
      <c r="R40" s="716">
        <f t="shared" si="7"/>
        <v>6.7424510400802653</v>
      </c>
      <c r="S40" s="710">
        <f t="shared" si="8"/>
        <v>0.10787267033154627</v>
      </c>
      <c r="T40" s="656">
        <v>3.127268552249999</v>
      </c>
      <c r="U40" s="716">
        <f t="shared" si="9"/>
        <v>3.2071690617185826</v>
      </c>
      <c r="V40" s="1141"/>
    </row>
    <row r="41" spans="1:22">
      <c r="A41" s="711">
        <f t="shared" si="2"/>
        <v>2012</v>
      </c>
      <c r="B41" s="711">
        <f t="shared" si="3"/>
        <v>4</v>
      </c>
      <c r="D41" s="673">
        <v>41000</v>
      </c>
      <c r="E41" s="673"/>
      <c r="F41" s="709">
        <f>INDEX('Historical Prices'!$1:$1048576, MATCH('Margin Forecast'!$D41, 'Historical Prices'!$B:$B, 0), MATCH($F$10, 'Historical Prices'!$8:$8, 0))</f>
        <v>29.55217261904761</v>
      </c>
      <c r="H41" s="710">
        <f t="shared" si="4"/>
        <v>1.8181602650703892E-2</v>
      </c>
      <c r="I41" s="674">
        <v>0.53730586002453495</v>
      </c>
      <c r="J41" s="715">
        <f t="shared" si="0"/>
        <v>0.32376804653802005</v>
      </c>
      <c r="K41" s="674"/>
      <c r="L41" s="710">
        <f t="shared" si="5"/>
        <v>3.7753319525160541E-2</v>
      </c>
      <c r="M41" s="674">
        <v>1.1156926155496047</v>
      </c>
      <c r="N41" s="715">
        <f t="shared" si="1"/>
        <v>0.64524489224213133</v>
      </c>
      <c r="O41" s="674"/>
      <c r="P41" s="710">
        <f t="shared" si="6"/>
        <v>0.21352363593582402</v>
      </c>
      <c r="Q41" s="656">
        <v>6.3100873474221491</v>
      </c>
      <c r="R41" s="716">
        <f t="shared" si="7"/>
        <v>6.0068965122178648</v>
      </c>
      <c r="S41" s="710">
        <f t="shared" si="8"/>
        <v>0.11184879234122871</v>
      </c>
      <c r="T41" s="656">
        <v>3.3053748185000011</v>
      </c>
      <c r="U41" s="716">
        <f t="shared" si="9"/>
        <v>3.2349786402872311</v>
      </c>
      <c r="V41" s="1141"/>
    </row>
    <row r="42" spans="1:22">
      <c r="A42" s="711">
        <f t="shared" si="2"/>
        <v>2012</v>
      </c>
      <c r="B42" s="711">
        <f t="shared" si="3"/>
        <v>5</v>
      </c>
      <c r="D42" s="673">
        <v>41030</v>
      </c>
      <c r="E42" s="673"/>
      <c r="F42" s="709">
        <f>INDEX('Historical Prices'!$1:$1048576, MATCH('Margin Forecast'!$D42, 'Historical Prices'!$B:$B, 0), MATCH($F$10, 'Historical Prices'!$8:$8, 0))</f>
        <v>29.865994318181844</v>
      </c>
      <c r="H42" s="710">
        <f t="shared" si="4"/>
        <v>1.815400899832496E-2</v>
      </c>
      <c r="I42" s="674">
        <v>0.54218752959619532</v>
      </c>
      <c r="J42" s="715">
        <f t="shared" si="0"/>
        <v>0.58914083811473628</v>
      </c>
      <c r="K42" s="674"/>
      <c r="L42" s="710">
        <f t="shared" si="5"/>
        <v>0.14177233733408029</v>
      </c>
      <c r="M42" s="674">
        <v>4.2341718212950017</v>
      </c>
      <c r="N42" s="715">
        <f t="shared" si="1"/>
        <v>1.9890488252933518</v>
      </c>
      <c r="O42" s="674"/>
      <c r="P42" s="710">
        <f t="shared" si="6"/>
        <v>0.13106922315971425</v>
      </c>
      <c r="Q42" s="656">
        <v>3.9145126741765339</v>
      </c>
      <c r="R42" s="716">
        <f t="shared" si="7"/>
        <v>4.517111826924296</v>
      </c>
      <c r="S42" s="710">
        <f t="shared" si="8"/>
        <v>0.11506036889781326</v>
      </c>
      <c r="T42" s="656">
        <v>3.436392323749998</v>
      </c>
      <c r="U42" s="716">
        <f t="shared" si="9"/>
        <v>3.3930316952995194</v>
      </c>
      <c r="V42" s="1141"/>
    </row>
    <row r="43" spans="1:22">
      <c r="A43" s="711">
        <f t="shared" si="2"/>
        <v>2012</v>
      </c>
      <c r="B43" s="711">
        <f t="shared" si="3"/>
        <v>6</v>
      </c>
      <c r="D43" s="673">
        <v>41061</v>
      </c>
      <c r="E43" s="673"/>
      <c r="F43" s="709">
        <f>INDEX('Historical Prices'!$1:$1048576, MATCH('Margin Forecast'!$D43, 'Historical Prices'!$B:$B, 0), MATCH($F$10, 'Historical Prices'!$8:$8, 0))</f>
        <v>46.257142857142838</v>
      </c>
      <c r="H43" s="710">
        <f t="shared" si="4"/>
        <v>9.7254265420427422E-2</v>
      </c>
      <c r="I43" s="674">
        <v>4.4987044490191979</v>
      </c>
      <c r="J43" s="715">
        <f t="shared" si="0"/>
        <v>2.981791660587803</v>
      </c>
      <c r="K43" s="674"/>
      <c r="L43" s="710">
        <f t="shared" si="5"/>
        <v>6.6162995558484233E-2</v>
      </c>
      <c r="M43" s="674">
        <v>3.060511137405312</v>
      </c>
      <c r="N43" s="715">
        <f t="shared" si="1"/>
        <v>2.3934863895728991</v>
      </c>
      <c r="O43" s="674"/>
      <c r="P43" s="710">
        <f t="shared" si="6"/>
        <v>0.1302105895318342</v>
      </c>
      <c r="Q43" s="656">
        <v>6.0231698414868422</v>
      </c>
      <c r="R43" s="716">
        <f t="shared" si="7"/>
        <v>6.0799853200719332</v>
      </c>
      <c r="S43" s="710">
        <f t="shared" si="8"/>
        <v>9.6691321469271216E-2</v>
      </c>
      <c r="T43" s="656">
        <v>4.472664270250001</v>
      </c>
      <c r="U43" s="716">
        <f t="shared" si="9"/>
        <v>4.8714309739743893</v>
      </c>
      <c r="V43" s="1141"/>
    </row>
    <row r="44" spans="1:22">
      <c r="A44" s="711">
        <f t="shared" si="2"/>
        <v>2012</v>
      </c>
      <c r="B44" s="711">
        <f t="shared" si="3"/>
        <v>7</v>
      </c>
      <c r="D44" s="673">
        <v>41091</v>
      </c>
      <c r="E44" s="673"/>
      <c r="F44" s="709">
        <f>INDEX('Historical Prices'!$1:$1048576, MATCH('Margin Forecast'!$D44, 'Historical Prices'!$B:$B, 0), MATCH($F$10, 'Historical Prices'!$8:$8, 0))</f>
        <v>52.047023809523829</v>
      </c>
      <c r="H44" s="710">
        <f>I44/F44</f>
        <v>0.1375901852561173</v>
      </c>
      <c r="I44" s="674">
        <v>7.1611596479819317</v>
      </c>
      <c r="J44" s="715">
        <f t="shared" si="0"/>
        <v>6.8109900003432813</v>
      </c>
      <c r="K44" s="674"/>
      <c r="L44" s="710">
        <f t="shared" si="5"/>
        <v>7.0330412172856183E-2</v>
      </c>
      <c r="M44" s="674">
        <v>3.6604886368942702</v>
      </c>
      <c r="N44" s="715">
        <f t="shared" si="1"/>
        <v>4.3441179991559329</v>
      </c>
      <c r="O44" s="674"/>
      <c r="P44" s="710">
        <f t="shared" si="6"/>
        <v>0.12103613095164392</v>
      </c>
      <c r="Q44" s="656">
        <v>6.299570389452855</v>
      </c>
      <c r="R44" s="716">
        <f t="shared" si="7"/>
        <v>6.1404840480559129</v>
      </c>
      <c r="S44" s="710">
        <f t="shared" si="8"/>
        <v>0.11316881507107808</v>
      </c>
      <c r="T44" s="656">
        <v>5.8901000124999996</v>
      </c>
      <c r="U44" s="716">
        <f t="shared" si="9"/>
        <v>5.9267166856423064</v>
      </c>
      <c r="V44" s="1141"/>
    </row>
    <row r="45" spans="1:22">
      <c r="A45" s="711">
        <f t="shared" si="2"/>
        <v>2012</v>
      </c>
      <c r="B45" s="711">
        <f t="shared" si="3"/>
        <v>8</v>
      </c>
      <c r="D45" s="673">
        <v>41122</v>
      </c>
      <c r="E45" s="673"/>
      <c r="F45" s="709">
        <f>INDEX('Historical Prices'!$1:$1048576, MATCH('Margin Forecast'!$D45, 'Historical Prices'!$B:$B, 0), MATCH($F$10, 'Historical Prices'!$8:$8, 0))</f>
        <v>47.1351086956522</v>
      </c>
      <c r="H45" s="710">
        <f t="shared" si="4"/>
        <v>0.10388860300809394</v>
      </c>
      <c r="I45" s="674">
        <v>4.8968005950259679</v>
      </c>
      <c r="J45" s="715">
        <f t="shared" si="0"/>
        <v>4.1521806655109081</v>
      </c>
      <c r="K45" s="674"/>
      <c r="L45" s="710">
        <f t="shared" si="5"/>
        <v>9.6048342296413222E-2</v>
      </c>
      <c r="M45" s="674">
        <v>4.5272490541786459</v>
      </c>
      <c r="N45" s="715">
        <f t="shared" si="1"/>
        <v>3.6001757759430113</v>
      </c>
      <c r="O45" s="674"/>
      <c r="P45" s="710">
        <f t="shared" si="6"/>
        <v>0.10923136207007082</v>
      </c>
      <c r="Q45" s="656">
        <v>5.1486321241469293</v>
      </c>
      <c r="R45" s="716">
        <f t="shared" si="7"/>
        <v>5.2340836006914371</v>
      </c>
      <c r="S45" s="710">
        <f t="shared" si="8"/>
        <v>0.10845054069476501</v>
      </c>
      <c r="T45" s="656">
        <v>5.1118280237500011</v>
      </c>
      <c r="U45" s="716">
        <f t="shared" si="9"/>
        <v>5.1948788437209066</v>
      </c>
      <c r="V45" s="1141"/>
    </row>
    <row r="46" spans="1:22">
      <c r="A46" s="711">
        <f t="shared" si="2"/>
        <v>2012</v>
      </c>
      <c r="B46" s="711">
        <f t="shared" si="3"/>
        <v>9</v>
      </c>
      <c r="D46" s="673">
        <v>41153</v>
      </c>
      <c r="E46" s="673"/>
      <c r="F46" s="709">
        <f>INDEX('Historical Prices'!$1:$1048576, MATCH('Margin Forecast'!$D46, 'Historical Prices'!$B:$B, 0), MATCH($F$10, 'Historical Prices'!$8:$8, 0))</f>
        <v>37.148355263157875</v>
      </c>
      <c r="H46" s="710">
        <f t="shared" si="4"/>
        <v>3.2586569688441869E-2</v>
      </c>
      <c r="I46" s="674">
        <v>1.2105374675938905</v>
      </c>
      <c r="J46" s="715">
        <f t="shared" ref="J46:J77" si="10">AVERAGE(INDEX($H$14:$H$49,MATCH(DATE($A$2,$B46,$B$2),$D$14:$D$49,0)),INDEX($H$14:$H$49,MATCH(DATE($A$3,$B46,$B$2),$D$14:$D$49,0)),INDEX($H$14:$H$49,MATCH(DATE($A$4,$B46,$B$2),$D$14:$D$49,0)))*F46</f>
        <v>1.6164774772921502</v>
      </c>
      <c r="K46" s="674"/>
      <c r="L46" s="710">
        <f t="shared" si="5"/>
        <v>4.0901084231264422E-2</v>
      </c>
      <c r="M46" s="674">
        <v>1.5194080076713552</v>
      </c>
      <c r="N46" s="715">
        <f t="shared" ref="N46:N77" si="11">AVERAGE(INDEX($L$14:$L$49,MATCH(DATE($A$2,$B46,$B$2),$D$14:$D$49,0)),INDEX($L$14:$L$49,MATCH(DATE($A$3,$B46,$B$2),$D$14:$D$49,0)),INDEX($L$14:$L$49,MATCH(DATE($A$4,$B46,$B$2),$D$14:$D$49,0)))*F46</f>
        <v>1.5742737727583564</v>
      </c>
      <c r="O46" s="674"/>
      <c r="P46" s="710">
        <f t="shared" si="6"/>
        <v>0.16330814992859954</v>
      </c>
      <c r="Q46" s="656">
        <v>6.0666291709166664</v>
      </c>
      <c r="R46" s="716">
        <f t="shared" ref="R46:R77" si="12">AVERAGE(INDEX($P$14:$P$49,MATCH(DATE($A$2,$B46,$B$2),$D$14:$D$49,0)),INDEX($P$14:$P$49,MATCH(DATE($A$3,$B46,$B$2),$D$14:$D$49,0)),INDEX($P$14:$P$49,MATCH(DATE($A$4,$B46,$B$2),$D$14:$D$49,0)))*F46</f>
        <v>5.8538272143485885</v>
      </c>
      <c r="S46" s="710">
        <f t="shared" si="8"/>
        <v>0.10076720322426973</v>
      </c>
      <c r="T46" s="656">
        <v>3.7433358642499996</v>
      </c>
      <c r="U46" s="716">
        <f t="shared" si="9"/>
        <v>3.7475078267850113</v>
      </c>
      <c r="V46" s="1141"/>
    </row>
    <row r="47" spans="1:22">
      <c r="A47" s="711">
        <f t="shared" si="2"/>
        <v>2012</v>
      </c>
      <c r="B47" s="711">
        <f t="shared" si="3"/>
        <v>10</v>
      </c>
      <c r="D47" s="673">
        <v>41183</v>
      </c>
      <c r="E47" s="673"/>
      <c r="F47" s="709">
        <f>INDEX('Historical Prices'!$1:$1048576, MATCH('Margin Forecast'!$D47, 'Historical Prices'!$B:$B, 0), MATCH($F$10, 'Historical Prices'!$8:$8, 0))</f>
        <v>38.812880434782592</v>
      </c>
      <c r="H47" s="710">
        <f t="shared" si="4"/>
        <v>3.4151387071071466E-2</v>
      </c>
      <c r="I47" s="674">
        <v>1.325513703071477</v>
      </c>
      <c r="J47" s="715">
        <f t="shared" si="10"/>
        <v>0.87725323445986259</v>
      </c>
      <c r="K47" s="674"/>
      <c r="L47" s="710">
        <f t="shared" si="5"/>
        <v>2.1810705182389988E-2</v>
      </c>
      <c r="M47" s="674">
        <v>0.8465362924423957</v>
      </c>
      <c r="N47" s="715">
        <f t="shared" si="11"/>
        <v>0.79907675432367209</v>
      </c>
      <c r="O47" s="674"/>
      <c r="P47" s="710">
        <f t="shared" si="6"/>
        <v>0.21859501992477387</v>
      </c>
      <c r="Q47" s="656">
        <v>8.484302371979167</v>
      </c>
      <c r="R47" s="716">
        <f t="shared" si="12"/>
        <v>8.9057742628362462</v>
      </c>
      <c r="S47" s="710">
        <f t="shared" si="8"/>
        <v>9.7066131888366422E-2</v>
      </c>
      <c r="T47" s="656">
        <v>3.7674161712500038</v>
      </c>
      <c r="U47" s="716">
        <f t="shared" si="9"/>
        <v>3.7736641183299509</v>
      </c>
      <c r="V47" s="1141"/>
    </row>
    <row r="48" spans="1:22">
      <c r="A48" s="711">
        <f t="shared" si="2"/>
        <v>2012</v>
      </c>
      <c r="B48" s="711">
        <f t="shared" si="3"/>
        <v>11</v>
      </c>
      <c r="D48" s="673">
        <v>41214</v>
      </c>
      <c r="E48" s="673"/>
      <c r="F48" s="709">
        <f>INDEX('Historical Prices'!$1:$1048576, MATCH('Margin Forecast'!$D48, 'Historical Prices'!$B:$B, 0), MATCH($F$10, 'Historical Prices'!$8:$8, 0))</f>
        <v>62.727619047619015</v>
      </c>
      <c r="H48" s="710">
        <f t="shared" si="4"/>
        <v>0.11714304288276715</v>
      </c>
      <c r="I48" s="674">
        <v>7.3481041680291161</v>
      </c>
      <c r="J48" s="715">
        <f t="shared" si="10"/>
        <v>3.9750963774869423</v>
      </c>
      <c r="K48" s="674"/>
      <c r="L48" s="710">
        <f t="shared" si="5"/>
        <v>5.0672149530352796E-2</v>
      </c>
      <c r="M48" s="674">
        <v>3.1785432920639569</v>
      </c>
      <c r="N48" s="715">
        <f t="shared" si="11"/>
        <v>2.3591815217728946</v>
      </c>
      <c r="O48" s="674"/>
      <c r="P48" s="710">
        <f t="shared" si="6"/>
        <v>0.18651873563961255</v>
      </c>
      <c r="Q48" s="656">
        <v>11.699876194445176</v>
      </c>
      <c r="R48" s="716">
        <f t="shared" si="12"/>
        <v>13.135343025145538</v>
      </c>
      <c r="S48" s="710">
        <f t="shared" si="8"/>
        <v>6.5273584270618301E-2</v>
      </c>
      <c r="T48" s="656">
        <v>4.0944565280000011</v>
      </c>
      <c r="U48" s="716">
        <f t="shared" si="9"/>
        <v>4.359021237513387</v>
      </c>
      <c r="V48" s="1141"/>
    </row>
    <row r="49" spans="1:22">
      <c r="A49" s="711">
        <f t="shared" si="2"/>
        <v>2012</v>
      </c>
      <c r="B49" s="711">
        <f t="shared" si="3"/>
        <v>12</v>
      </c>
      <c r="D49" s="673">
        <v>41244</v>
      </c>
      <c r="E49" s="673"/>
      <c r="F49" s="709">
        <f>INDEX('Historical Prices'!$1:$1048576, MATCH('Margin Forecast'!$D49, 'Historical Prices'!$B:$B, 0), MATCH($F$10, 'Historical Prices'!$8:$8, 0))</f>
        <v>49.791468750000007</v>
      </c>
      <c r="H49" s="710">
        <f t="shared" si="4"/>
        <v>7.5275188163887161E-2</v>
      </c>
      <c r="I49" s="674">
        <v>3.7480621791125581</v>
      </c>
      <c r="J49" s="715">
        <f t="shared" si="10"/>
        <v>3.4387381132648991</v>
      </c>
      <c r="K49" s="674"/>
      <c r="L49" s="710">
        <f t="shared" si="5"/>
        <v>1.9386412727966908E-2</v>
      </c>
      <c r="M49" s="674">
        <v>0.96527796351916673</v>
      </c>
      <c r="N49" s="715">
        <f t="shared" si="11"/>
        <v>1.4049679395160619</v>
      </c>
      <c r="O49" s="674"/>
      <c r="P49" s="710">
        <f t="shared" si="6"/>
        <v>0.23814026486471715</v>
      </c>
      <c r="Q49" s="656">
        <v>11.857353556128288</v>
      </c>
      <c r="R49" s="716">
        <f t="shared" si="12"/>
        <v>12.040229783945295</v>
      </c>
      <c r="S49" s="710">
        <f t="shared" si="8"/>
        <v>6.9078374575965884E-2</v>
      </c>
      <c r="T49" s="656">
        <v>3.4395137290000002</v>
      </c>
      <c r="U49" s="716">
        <f t="shared" si="9"/>
        <v>3.2700386094461789</v>
      </c>
      <c r="V49" s="1141"/>
    </row>
    <row r="50" spans="1:22" outlineLevel="1">
      <c r="A50" s="711">
        <f t="shared" si="2"/>
        <v>2013</v>
      </c>
      <c r="B50" s="711">
        <f t="shared" si="3"/>
        <v>1</v>
      </c>
      <c r="D50" s="673">
        <v>41275</v>
      </c>
      <c r="E50" s="673"/>
      <c r="F50" s="709">
        <f>INDEX('Historical Prices'!$1:$1048576, MATCH('Margin Forecast'!$D50, 'Historical Prices'!$B:$B, 0), MATCH($F$10, 'Historical Prices'!$8:$8, 0))</f>
        <v>94.792698863636318</v>
      </c>
      <c r="H50" s="710">
        <f t="shared" si="4"/>
        <v>0.15791715451212118</v>
      </c>
      <c r="I50" s="674">
        <v>14.96939327306983</v>
      </c>
      <c r="J50" s="715">
        <f t="shared" si="10"/>
        <v>7.9802331802268132</v>
      </c>
      <c r="K50" s="674"/>
      <c r="L50" s="710">
        <f t="shared" si="5"/>
        <v>3.0785908780754056E-2</v>
      </c>
      <c r="M50" s="674">
        <v>2.9182793802973963</v>
      </c>
      <c r="N50" s="715">
        <f t="shared" si="11"/>
        <v>3.5064348429590715</v>
      </c>
      <c r="O50" s="674"/>
      <c r="P50" s="710">
        <f t="shared" si="6"/>
        <v>0.29944647162356947</v>
      </c>
      <c r="Q50" s="656">
        <v>28.385339210391436</v>
      </c>
      <c r="R50" s="716">
        <f t="shared" si="12"/>
        <v>22.430182580463018</v>
      </c>
      <c r="S50" s="710"/>
      <c r="U50" s="716">
        <f t="shared" si="9"/>
        <v>7.5177392385344337</v>
      </c>
    </row>
    <row r="51" spans="1:22" outlineLevel="1">
      <c r="A51" s="711">
        <f t="shared" si="2"/>
        <v>2013</v>
      </c>
      <c r="B51" s="711">
        <f t="shared" si="3"/>
        <v>2</v>
      </c>
      <c r="D51" s="673">
        <v>41306</v>
      </c>
      <c r="E51" s="673"/>
      <c r="F51" s="709">
        <f>INDEX('Historical Prices'!$1:$1048576, MATCH('Margin Forecast'!$D51, 'Historical Prices'!$B:$B, 0), MATCH($F$10, 'Historical Prices'!$8:$8, 0))</f>
        <v>135.2853750000001</v>
      </c>
      <c r="H51" s="710">
        <f t="shared" si="4"/>
        <v>0.14604389382471369</v>
      </c>
      <c r="I51" s="674">
        <v>19.75760294253659</v>
      </c>
      <c r="J51" s="715">
        <f t="shared" si="10"/>
        <v>5.311977981487451</v>
      </c>
      <c r="K51" s="674"/>
      <c r="L51" s="710">
        <f t="shared" si="5"/>
        <v>9.2920633660281051E-3</v>
      </c>
      <c r="M51" s="674">
        <v>1.2570802769968754</v>
      </c>
      <c r="N51" s="715">
        <f t="shared" si="11"/>
        <v>4.0237440563113882</v>
      </c>
      <c r="O51" s="674"/>
      <c r="P51" s="710">
        <f t="shared" si="6"/>
        <v>0.2072361098154907</v>
      </c>
      <c r="Q51" s="656">
        <v>28.036014829929861</v>
      </c>
      <c r="R51" s="716">
        <f t="shared" si="12"/>
        <v>34.094140105844289</v>
      </c>
      <c r="S51" s="710"/>
      <c r="U51" s="716">
        <f t="shared" si="9"/>
        <v>12.29781793210662</v>
      </c>
    </row>
    <row r="52" spans="1:22" outlineLevel="1">
      <c r="A52" s="711">
        <f t="shared" si="2"/>
        <v>2013</v>
      </c>
      <c r="B52" s="711">
        <f t="shared" si="3"/>
        <v>3</v>
      </c>
      <c r="D52" s="673">
        <v>41334</v>
      </c>
      <c r="E52" s="673"/>
      <c r="F52" s="709">
        <f>INDEX('Historical Prices'!$1:$1048576, MATCH('Margin Forecast'!$D52, 'Historical Prices'!$B:$B, 0), MATCH($F$10, 'Historical Prices'!$8:$8, 0))</f>
        <v>61.412916666666661</v>
      </c>
      <c r="H52" s="710">
        <f t="shared" si="4"/>
        <v>7.730073589999184E-2</v>
      </c>
      <c r="I52" s="674">
        <v>4.7472636520982068</v>
      </c>
      <c r="J52" s="715">
        <f t="shared" si="10"/>
        <v>0.62051554717682322</v>
      </c>
      <c r="K52" s="674"/>
      <c r="L52" s="710">
        <f t="shared" si="5"/>
        <v>2.9013542252427242E-2</v>
      </c>
      <c r="M52" s="674">
        <v>1.7818062525531264</v>
      </c>
      <c r="N52" s="715">
        <f t="shared" si="11"/>
        <v>1.0280158966156259</v>
      </c>
      <c r="O52" s="674"/>
      <c r="P52" s="710">
        <f t="shared" si="6"/>
        <v>0.23013618518619827</v>
      </c>
      <c r="Q52" s="656">
        <v>14.133334362824561</v>
      </c>
      <c r="R52" s="716">
        <f t="shared" si="12"/>
        <v>14.283142767478855</v>
      </c>
      <c r="S52" s="710"/>
      <c r="U52" s="716">
        <f t="shared" si="9"/>
        <v>6.7940357765538026</v>
      </c>
    </row>
    <row r="53" spans="1:22" outlineLevel="1">
      <c r="A53" s="711">
        <f t="shared" si="2"/>
        <v>2013</v>
      </c>
      <c r="B53" s="711">
        <f t="shared" si="3"/>
        <v>4</v>
      </c>
      <c r="D53" s="673">
        <v>41365</v>
      </c>
      <c r="E53" s="673"/>
      <c r="F53" s="709">
        <f>INDEX('Historical Prices'!$1:$1048576, MATCH('Margin Forecast'!$D53, 'Historical Prices'!$B:$B, 0), MATCH($F$10, 'Historical Prices'!$8:$8, 0))</f>
        <v>47.619346590909089</v>
      </c>
      <c r="I53" s="674"/>
      <c r="J53" s="715">
        <f t="shared" si="10"/>
        <v>0.52170860741447678</v>
      </c>
      <c r="K53" s="674"/>
      <c r="M53" s="674"/>
      <c r="N53" s="715">
        <f t="shared" si="11"/>
        <v>1.0397252532251235</v>
      </c>
      <c r="O53" s="674"/>
      <c r="R53" s="716">
        <f t="shared" si="12"/>
        <v>9.6793048226395992</v>
      </c>
      <c r="U53" s="716">
        <f t="shared" si="9"/>
        <v>5.2127324468433622</v>
      </c>
    </row>
    <row r="54" spans="1:22" outlineLevel="1">
      <c r="A54" s="711">
        <f t="shared" si="2"/>
        <v>2013</v>
      </c>
      <c r="B54" s="711">
        <f t="shared" si="3"/>
        <v>5</v>
      </c>
      <c r="D54" s="673">
        <v>41395</v>
      </c>
      <c r="E54" s="673"/>
      <c r="F54" s="709">
        <f>INDEX('Historical Prices'!$1:$1048576, MATCH('Margin Forecast'!$D54, 'Historical Prices'!$B:$B, 0), MATCH($F$10, 'Historical Prices'!$8:$8, 0))</f>
        <v>47.361335227272754</v>
      </c>
      <c r="I54" s="674"/>
      <c r="J54" s="715">
        <f t="shared" si="10"/>
        <v>0.93425641325599351</v>
      </c>
      <c r="K54" s="674"/>
      <c r="M54" s="674"/>
      <c r="N54" s="715">
        <f t="shared" si="11"/>
        <v>3.1542230670278379</v>
      </c>
      <c r="O54" s="674"/>
      <c r="R54" s="716">
        <f t="shared" si="12"/>
        <v>7.1632119531945282</v>
      </c>
      <c r="U54" s="716">
        <f t="shared" si="9"/>
        <v>5.3806516483535241</v>
      </c>
    </row>
    <row r="55" spans="1:22" outlineLevel="1">
      <c r="A55" s="711">
        <f t="shared" si="2"/>
        <v>2013</v>
      </c>
      <c r="B55" s="711">
        <f t="shared" si="3"/>
        <v>6</v>
      </c>
      <c r="D55" s="673">
        <v>41426</v>
      </c>
      <c r="E55" s="673"/>
      <c r="F55" s="709">
        <f>INDEX('Historical Prices'!$1:$1048576, MATCH('Margin Forecast'!$D55, 'Historical Prices'!$B:$B, 0), MATCH($F$10, 'Historical Prices'!$8:$8, 0))</f>
        <v>42.402187499999961</v>
      </c>
      <c r="I55" s="674"/>
      <c r="J55" s="715">
        <f t="shared" si="10"/>
        <v>2.7332965520298402</v>
      </c>
      <c r="K55" s="674"/>
      <c r="M55" s="674"/>
      <c r="N55" s="715">
        <f t="shared" si="11"/>
        <v>2.1940191806225338</v>
      </c>
      <c r="O55" s="674"/>
      <c r="R55" s="716">
        <f t="shared" si="12"/>
        <v>5.5732944495755481</v>
      </c>
      <c r="U55" s="716">
        <f t="shared" si="9"/>
        <v>4.4654580199579588</v>
      </c>
    </row>
    <row r="56" spans="1:22" outlineLevel="1">
      <c r="A56" s="711">
        <f t="shared" si="2"/>
        <v>2013</v>
      </c>
      <c r="B56" s="711">
        <f t="shared" si="3"/>
        <v>7</v>
      </c>
      <c r="D56" s="673">
        <v>41456</v>
      </c>
      <c r="E56" s="673"/>
      <c r="F56" s="709">
        <f>INDEX('Historical Prices'!$1:$1048576, MATCH('Margin Forecast'!$D56, 'Historical Prices'!$B:$B, 0), MATCH($F$10, 'Historical Prices'!$8:$8, 0))</f>
        <v>50.744999999999997</v>
      </c>
      <c r="I56" s="674"/>
      <c r="J56" s="715">
        <f t="shared" si="10"/>
        <v>6.640604251115235</v>
      </c>
      <c r="K56" s="674"/>
      <c r="N56" s="715">
        <f t="shared" si="11"/>
        <v>4.2354442527572562</v>
      </c>
      <c r="O56" s="674"/>
      <c r="R56" s="716">
        <f t="shared" si="12"/>
        <v>5.986871874921297</v>
      </c>
      <c r="U56" s="716">
        <f t="shared" si="9"/>
        <v>5.7784521803509126</v>
      </c>
    </row>
    <row r="57" spans="1:22" outlineLevel="1">
      <c r="A57" s="711">
        <f t="shared" si="2"/>
        <v>2013</v>
      </c>
      <c r="B57" s="711">
        <f t="shared" si="3"/>
        <v>8</v>
      </c>
      <c r="D57" s="673">
        <v>41487</v>
      </c>
      <c r="E57" s="673"/>
      <c r="F57" s="1140">
        <f>INDEX('Futures Prices'!$1:$1048576, MATCH('Margin Forecast'!$D57, 'Futures Prices'!$C:$C, 0), MATCH('Margin Forecast'!$F$10, 'Futures Prices'!$16:$16, 0))</f>
        <v>52.85</v>
      </c>
      <c r="I57" s="674"/>
      <c r="J57" s="715">
        <f t="shared" si="10"/>
        <v>4.6556113742980116</v>
      </c>
      <c r="K57" s="674"/>
      <c r="N57" s="715">
        <f t="shared" si="11"/>
        <v>4.0366787098581325</v>
      </c>
      <c r="O57" s="674"/>
      <c r="R57" s="716">
        <f t="shared" si="12"/>
        <v>5.8686895172484954</v>
      </c>
      <c r="U57" s="716">
        <f t="shared" si="9"/>
        <v>5.8247313836357968</v>
      </c>
    </row>
    <row r="58" spans="1:22" outlineLevel="1">
      <c r="A58" s="711">
        <f t="shared" si="2"/>
        <v>2013</v>
      </c>
      <c r="B58" s="711">
        <f t="shared" si="3"/>
        <v>9</v>
      </c>
      <c r="D58" s="673">
        <v>41518</v>
      </c>
      <c r="E58" s="673"/>
      <c r="F58" s="1140">
        <f>INDEX('Futures Prices'!$1:$1048576, MATCH('Margin Forecast'!$D58, 'Futures Prices'!$C:$C, 0), MATCH('Margin Forecast'!$F$10, 'Futures Prices'!$16:$16, 0))</f>
        <v>41.23</v>
      </c>
      <c r="I58" s="674"/>
      <c r="J58" s="715">
        <f t="shared" si="10"/>
        <v>1.794086599975351</v>
      </c>
      <c r="K58" s="674"/>
      <c r="N58" s="715">
        <f t="shared" si="11"/>
        <v>1.7472457983947214</v>
      </c>
      <c r="O58" s="674"/>
      <c r="R58" s="716">
        <f t="shared" si="12"/>
        <v>6.4970116264327862</v>
      </c>
      <c r="U58" s="716">
        <f t="shared" si="9"/>
        <v>4.1592621423964378</v>
      </c>
    </row>
    <row r="59" spans="1:22" outlineLevel="1">
      <c r="A59" s="711">
        <f t="shared" si="2"/>
        <v>2013</v>
      </c>
      <c r="B59" s="711">
        <f t="shared" si="3"/>
        <v>10</v>
      </c>
      <c r="D59" s="673">
        <v>41548</v>
      </c>
      <c r="E59" s="673"/>
      <c r="F59" s="1140">
        <f>INDEX('Futures Prices'!$1:$1048576, MATCH('Margin Forecast'!$D59, 'Futures Prices'!$C:$C, 0), MATCH('Margin Forecast'!$F$10, 'Futures Prices'!$16:$16, 0))</f>
        <v>38.840000000000003</v>
      </c>
      <c r="I59" s="674"/>
      <c r="J59" s="715">
        <f t="shared" si="10"/>
        <v>0.87786619402477029</v>
      </c>
      <c r="K59" s="674"/>
      <c r="N59" s="715">
        <f t="shared" si="11"/>
        <v>0.79963508995632404</v>
      </c>
      <c r="O59" s="674"/>
      <c r="R59" s="716">
        <f t="shared" si="12"/>
        <v>8.9119969580659486</v>
      </c>
      <c r="U59" s="716">
        <f t="shared" si="9"/>
        <v>3.7763008752266112</v>
      </c>
    </row>
    <row r="60" spans="1:22" outlineLevel="1">
      <c r="A60" s="711">
        <f t="shared" si="2"/>
        <v>2013</v>
      </c>
      <c r="B60" s="711">
        <f t="shared" si="3"/>
        <v>11</v>
      </c>
      <c r="D60" s="673">
        <v>41579</v>
      </c>
      <c r="E60" s="673"/>
      <c r="F60" s="1140">
        <f>INDEX('Futures Prices'!$1:$1048576, MATCH('Margin Forecast'!$D60, 'Futures Prices'!$C:$C, 0), MATCH('Margin Forecast'!$F$10, 'Futures Prices'!$16:$16, 0))</f>
        <v>47.28</v>
      </c>
      <c r="J60" s="715">
        <f t="shared" si="10"/>
        <v>2.9961691449648042</v>
      </c>
      <c r="K60" s="674"/>
      <c r="N60" s="715">
        <f t="shared" si="11"/>
        <v>1.7781976112427675</v>
      </c>
      <c r="O60" s="674"/>
      <c r="R60" s="716">
        <f t="shared" si="12"/>
        <v>9.9005673682182298</v>
      </c>
      <c r="U60" s="716">
        <f t="shared" si="9"/>
        <v>3.2855467374455651</v>
      </c>
    </row>
    <row r="61" spans="1:22" outlineLevel="1">
      <c r="A61" s="711">
        <f t="shared" si="2"/>
        <v>2013</v>
      </c>
      <c r="B61" s="711">
        <f t="shared" si="3"/>
        <v>12</v>
      </c>
      <c r="D61" s="673">
        <v>41609</v>
      </c>
      <c r="E61" s="673"/>
      <c r="F61" s="1140">
        <f>INDEX('Futures Prices'!$1:$1048576, MATCH('Margin Forecast'!$D61, 'Futures Prices'!$C:$C, 0), MATCH('Margin Forecast'!$F$10, 'Futures Prices'!$16:$16, 0))</f>
        <v>75.09</v>
      </c>
      <c r="J61" s="715">
        <f t="shared" si="10"/>
        <v>5.1859254488262359</v>
      </c>
      <c r="K61" s="674"/>
      <c r="N61" s="715">
        <f t="shared" si="11"/>
        <v>2.1188176454075993</v>
      </c>
      <c r="O61" s="674"/>
      <c r="R61" s="716">
        <f t="shared" si="12"/>
        <v>18.157746239940998</v>
      </c>
      <c r="U61" s="716">
        <f t="shared" si="9"/>
        <v>4.9315114686853567</v>
      </c>
    </row>
    <row r="62" spans="1:22" outlineLevel="1">
      <c r="A62" s="711">
        <f t="shared" si="2"/>
        <v>2014</v>
      </c>
      <c r="B62" s="711">
        <f t="shared" si="3"/>
        <v>1</v>
      </c>
      <c r="D62" s="673">
        <v>41640</v>
      </c>
      <c r="E62" s="673"/>
      <c r="F62" s="1140">
        <f>INDEX('Futures Prices'!$1:$1048576, MATCH('Margin Forecast'!$D62, 'Futures Prices'!$C:$C, 0), MATCH('Margin Forecast'!$F$10, 'Futures Prices'!$16:$16, 0))</f>
        <v>96.5</v>
      </c>
      <c r="J62" s="715">
        <f t="shared" si="10"/>
        <v>8.1239643044629553</v>
      </c>
      <c r="K62" s="674"/>
      <c r="N62" s="715">
        <f t="shared" si="11"/>
        <v>3.5695888649854002</v>
      </c>
      <c r="O62" s="674"/>
      <c r="R62" s="716">
        <f t="shared" si="12"/>
        <v>22.834170194145784</v>
      </c>
      <c r="U62" s="716">
        <f t="shared" si="9"/>
        <v>7.6531404339714317</v>
      </c>
    </row>
    <row r="63" spans="1:22" outlineLevel="1">
      <c r="A63" s="711">
        <f t="shared" si="2"/>
        <v>2014</v>
      </c>
      <c r="B63" s="711">
        <f t="shared" si="3"/>
        <v>2</v>
      </c>
      <c r="D63" s="673">
        <v>41671</v>
      </c>
      <c r="E63" s="673"/>
      <c r="F63" s="1140">
        <f>INDEX('Futures Prices'!$1:$1048576, MATCH('Margin Forecast'!$D63, 'Futures Prices'!$C:$C, 0), MATCH('Margin Forecast'!$F$10, 'Futures Prices'!$16:$16, 0))</f>
        <v>96.5</v>
      </c>
      <c r="J63" s="715">
        <f t="shared" si="10"/>
        <v>3.7890708823000168</v>
      </c>
      <c r="K63" s="674"/>
      <c r="N63" s="715">
        <f t="shared" si="11"/>
        <v>2.8701646533045326</v>
      </c>
      <c r="O63" s="674"/>
      <c r="R63" s="716">
        <f t="shared" si="12"/>
        <v>24.319587540145942</v>
      </c>
      <c r="U63" s="716">
        <f t="shared" si="9"/>
        <v>8.772119162535402</v>
      </c>
    </row>
    <row r="64" spans="1:22" outlineLevel="1">
      <c r="A64" s="711">
        <f t="shared" si="2"/>
        <v>2014</v>
      </c>
      <c r="B64" s="711">
        <f t="shared" si="3"/>
        <v>3</v>
      </c>
      <c r="D64" s="673">
        <v>41699</v>
      </c>
      <c r="E64" s="673"/>
      <c r="F64" s="1140">
        <f>INDEX('Futures Prices'!$1:$1048576, MATCH('Margin Forecast'!$D64, 'Futures Prices'!$C:$C, 0), MATCH('Margin Forecast'!$F$10, 'Futures Prices'!$16:$16, 0))</f>
        <v>55.63</v>
      </c>
      <c r="J64" s="715">
        <f t="shared" si="10"/>
        <v>0.56208501017478707</v>
      </c>
      <c r="K64" s="674"/>
      <c r="N64" s="715">
        <f t="shared" si="11"/>
        <v>0.93121329245982087</v>
      </c>
      <c r="O64" s="674"/>
      <c r="R64" s="716">
        <f t="shared" si="12"/>
        <v>12.938177752858975</v>
      </c>
      <c r="U64" s="716">
        <f t="shared" si="9"/>
        <v>6.1542787863522967</v>
      </c>
    </row>
    <row r="65" spans="1:21" outlineLevel="1">
      <c r="A65" s="711">
        <f t="shared" si="2"/>
        <v>2014</v>
      </c>
      <c r="B65" s="711">
        <f t="shared" si="3"/>
        <v>4</v>
      </c>
      <c r="D65" s="673">
        <v>41730</v>
      </c>
      <c r="E65" s="673"/>
      <c r="F65" s="1140">
        <f>INDEX('Futures Prices'!$1:$1048576, MATCH('Margin Forecast'!$D65, 'Futures Prices'!$C:$C, 0), MATCH('Margin Forecast'!$F$10, 'Futures Prices'!$16:$16, 0))</f>
        <v>42.13</v>
      </c>
      <c r="J65" s="715">
        <f t="shared" si="10"/>
        <v>0.46156835832283316</v>
      </c>
      <c r="K65" s="674"/>
      <c r="N65" s="715">
        <f t="shared" si="11"/>
        <v>0.91987034796350864</v>
      </c>
      <c r="O65" s="674"/>
      <c r="R65" s="716">
        <f t="shared" si="12"/>
        <v>8.563517590467244</v>
      </c>
      <c r="U65" s="716">
        <f t="shared" si="9"/>
        <v>4.6118318227288873</v>
      </c>
    </row>
    <row r="66" spans="1:21" outlineLevel="1">
      <c r="A66" s="711">
        <f t="shared" si="2"/>
        <v>2014</v>
      </c>
      <c r="B66" s="711">
        <f t="shared" si="3"/>
        <v>5</v>
      </c>
      <c r="D66" s="673">
        <v>41760</v>
      </c>
      <c r="E66" s="673"/>
      <c r="F66" s="1140">
        <f>INDEX('Futures Prices'!$1:$1048576, MATCH('Margin Forecast'!$D66, 'Futures Prices'!$C:$C, 0), MATCH('Margin Forecast'!$F$10, 'Futures Prices'!$16:$16, 0))</f>
        <v>40.619999999999997</v>
      </c>
      <c r="J66" s="715">
        <f t="shared" si="10"/>
        <v>0.80127587882288953</v>
      </c>
      <c r="K66" s="674"/>
      <c r="N66" s="715">
        <f t="shared" si="11"/>
        <v>2.7052560990487233</v>
      </c>
      <c r="O66" s="674"/>
      <c r="R66" s="716">
        <f t="shared" si="12"/>
        <v>6.1436120443498075</v>
      </c>
      <c r="U66" s="716">
        <f t="shared" si="9"/>
        <v>4.6147784665974196</v>
      </c>
    </row>
    <row r="67" spans="1:21" outlineLevel="1">
      <c r="A67" s="711">
        <f t="shared" si="2"/>
        <v>2014</v>
      </c>
      <c r="B67" s="711">
        <f t="shared" si="3"/>
        <v>6</v>
      </c>
      <c r="D67" s="673">
        <v>41791</v>
      </c>
      <c r="E67" s="673"/>
      <c r="F67" s="1140">
        <f>INDEX('Futures Prices'!$1:$1048576, MATCH('Margin Forecast'!$D67, 'Futures Prices'!$C:$C, 0), MATCH('Margin Forecast'!$F$10, 'Futures Prices'!$16:$16, 0))</f>
        <v>44.5</v>
      </c>
      <c r="J67" s="715">
        <f t="shared" si="10"/>
        <v>2.86852409596387</v>
      </c>
      <c r="K67" s="674"/>
      <c r="N67" s="715">
        <f t="shared" si="11"/>
        <v>2.3025664309819591</v>
      </c>
      <c r="O67" s="674"/>
      <c r="R67" s="716">
        <f t="shared" si="12"/>
        <v>5.8490284966102779</v>
      </c>
      <c r="U67" s="716">
        <f t="shared" si="9"/>
        <v>4.6863827930606021</v>
      </c>
    </row>
    <row r="68" spans="1:21" outlineLevel="1">
      <c r="A68" s="711">
        <f t="shared" si="2"/>
        <v>2014</v>
      </c>
      <c r="B68" s="711">
        <f t="shared" si="3"/>
        <v>7</v>
      </c>
      <c r="D68" s="673">
        <v>41821</v>
      </c>
      <c r="E68" s="673"/>
      <c r="F68" s="1140">
        <f>INDEX('Futures Prices'!$1:$1048576, MATCH('Margin Forecast'!$D68, 'Futures Prices'!$C:$C, 0), MATCH('Margin Forecast'!$F$10, 'Futures Prices'!$16:$16, 0))</f>
        <v>53.4</v>
      </c>
      <c r="J68" s="715">
        <f t="shared" si="10"/>
        <v>6.9880434921579182</v>
      </c>
      <c r="K68" s="674"/>
      <c r="N68" s="715">
        <f t="shared" si="11"/>
        <v>4.4570444989109763</v>
      </c>
      <c r="O68" s="674"/>
      <c r="R68" s="716">
        <f t="shared" si="12"/>
        <v>6.3001075597752934</v>
      </c>
      <c r="U68" s="716">
        <f t="shared" si="9"/>
        <v>6.0807832580695385</v>
      </c>
    </row>
    <row r="69" spans="1:21" outlineLevel="1">
      <c r="A69" s="711">
        <f t="shared" si="2"/>
        <v>2014</v>
      </c>
      <c r="B69" s="711">
        <f t="shared" si="3"/>
        <v>8</v>
      </c>
      <c r="D69" s="673">
        <v>41852</v>
      </c>
      <c r="E69" s="673"/>
      <c r="F69" s="1140">
        <f>INDEX('Futures Prices'!$1:$1048576, MATCH('Margin Forecast'!$D69, 'Futures Prices'!$C:$C, 0), MATCH('Margin Forecast'!$F$10, 'Futures Prices'!$16:$16, 0))</f>
        <v>53.4</v>
      </c>
      <c r="J69" s="715">
        <f t="shared" si="10"/>
        <v>4.7040614453644993</v>
      </c>
      <c r="K69" s="674"/>
      <c r="N69" s="715">
        <f t="shared" si="11"/>
        <v>4.078687665211433</v>
      </c>
      <c r="O69" s="674"/>
      <c r="R69" s="716">
        <f t="shared" si="12"/>
        <v>5.929763864164042</v>
      </c>
      <c r="U69" s="716">
        <f t="shared" si="9"/>
        <v>5.8853482665307766</v>
      </c>
    </row>
    <row r="70" spans="1:21" outlineLevel="1">
      <c r="A70" s="711">
        <f t="shared" si="2"/>
        <v>2014</v>
      </c>
      <c r="B70" s="711">
        <f t="shared" si="3"/>
        <v>9</v>
      </c>
      <c r="D70" s="673">
        <v>41883</v>
      </c>
      <c r="E70" s="673"/>
      <c r="F70" s="1140">
        <f>INDEX('Futures Prices'!$1:$1048576, MATCH('Margin Forecast'!$D70, 'Futures Prices'!$C:$C, 0), MATCH('Margin Forecast'!$F$10, 'Futures Prices'!$16:$16, 0))</f>
        <v>41</v>
      </c>
      <c r="J70" s="715">
        <f t="shared" si="10"/>
        <v>1.7840783555418238</v>
      </c>
      <c r="K70" s="674"/>
      <c r="N70" s="715">
        <f t="shared" si="11"/>
        <v>1.7374988536061988</v>
      </c>
      <c r="O70" s="674"/>
      <c r="R70" s="716">
        <f t="shared" si="12"/>
        <v>6.4607682921111866</v>
      </c>
      <c r="U70" s="716">
        <f t="shared" si="9"/>
        <v>4.1360598554027153</v>
      </c>
    </row>
    <row r="71" spans="1:21" outlineLevel="1">
      <c r="A71" s="711">
        <f t="shared" si="2"/>
        <v>2014</v>
      </c>
      <c r="B71" s="711">
        <f t="shared" si="3"/>
        <v>10</v>
      </c>
      <c r="D71" s="673">
        <v>41913</v>
      </c>
      <c r="E71" s="673"/>
      <c r="F71" s="1140">
        <f>INDEX('Futures Prices'!$1:$1048576, MATCH('Margin Forecast'!$D71, 'Futures Prices'!$C:$C, 0), MATCH('Margin Forecast'!$F$10, 'Futures Prices'!$16:$16, 0))</f>
        <v>42.504252918816178</v>
      </c>
      <c r="J71" s="715">
        <f t="shared" si="10"/>
        <v>0.96068606435909865</v>
      </c>
      <c r="K71" s="674"/>
      <c r="N71" s="715">
        <f t="shared" si="11"/>
        <v>0.87507446205622863</v>
      </c>
      <c r="O71" s="674"/>
      <c r="R71" s="716">
        <f t="shared" si="12"/>
        <v>9.7527747867496259</v>
      </c>
      <c r="U71" s="716">
        <f t="shared" si="9"/>
        <v>4.1325655895514615</v>
      </c>
    </row>
    <row r="72" spans="1:21" outlineLevel="1">
      <c r="A72" s="711">
        <f t="shared" si="2"/>
        <v>2014</v>
      </c>
      <c r="B72" s="711">
        <f t="shared" si="3"/>
        <v>11</v>
      </c>
      <c r="D72" s="673">
        <v>41944</v>
      </c>
      <c r="E72" s="673"/>
      <c r="F72" s="1140">
        <f>INDEX('Futures Prices'!$1:$1048576, MATCH('Margin Forecast'!$D72, 'Futures Prices'!$C:$C, 0), MATCH('Margin Forecast'!$F$10, 'Futures Prices'!$16:$16, 0))</f>
        <v>50.657108041237116</v>
      </c>
      <c r="J72" s="715">
        <f t="shared" si="10"/>
        <v>3.2101790204378831</v>
      </c>
      <c r="K72" s="674"/>
      <c r="N72" s="715">
        <f t="shared" si="11"/>
        <v>1.9052104169076698</v>
      </c>
      <c r="O72" s="674"/>
      <c r="R72" s="716">
        <f t="shared" si="12"/>
        <v>10.607743461112044</v>
      </c>
      <c r="U72" s="716">
        <f t="shared" si="9"/>
        <v>3.5202262278619734</v>
      </c>
    </row>
    <row r="73" spans="1:21" outlineLevel="1">
      <c r="A73" s="711">
        <f t="shared" si="2"/>
        <v>2014</v>
      </c>
      <c r="B73" s="711">
        <f t="shared" si="3"/>
        <v>12</v>
      </c>
      <c r="D73" s="673">
        <v>41974</v>
      </c>
      <c r="E73" s="673"/>
      <c r="F73" s="1140">
        <f>INDEX('Futures Prices'!$1:$1048576, MATCH('Margin Forecast'!$D73, 'Futures Prices'!$C:$C, 0), MATCH('Margin Forecast'!$F$10, 'Futures Prices'!$16:$16, 0))</f>
        <v>78.874255322924057</v>
      </c>
      <c r="J73" s="715">
        <f t="shared" si="10"/>
        <v>5.447276707103077</v>
      </c>
      <c r="K73" s="674"/>
      <c r="N73" s="715">
        <f t="shared" si="11"/>
        <v>2.2255981348594456</v>
      </c>
      <c r="O73" s="674"/>
      <c r="R73" s="716">
        <f t="shared" si="12"/>
        <v>19.072828779038094</v>
      </c>
      <c r="U73" s="716">
        <f t="shared" si="9"/>
        <v>5.1800412133308971</v>
      </c>
    </row>
    <row r="74" spans="1:21" outlineLevel="1">
      <c r="A74" s="711">
        <f t="shared" si="2"/>
        <v>2015</v>
      </c>
      <c r="B74" s="711">
        <f t="shared" si="3"/>
        <v>1</v>
      </c>
      <c r="D74" s="673">
        <v>42005</v>
      </c>
      <c r="E74" s="673"/>
      <c r="F74" s="1140">
        <f>INDEX('Futures Prices'!$1:$1048576, MATCH('Margin Forecast'!$D74, 'Futures Prices'!$C:$C, 0), MATCH('Margin Forecast'!$F$10, 'Futures Prices'!$16:$16, 0))</f>
        <v>100.53807798626235</v>
      </c>
      <c r="J74" s="715">
        <f t="shared" si="10"/>
        <v>8.4639145782353165</v>
      </c>
      <c r="K74" s="674"/>
      <c r="N74" s="715">
        <f t="shared" si="11"/>
        <v>3.7189596236973665</v>
      </c>
      <c r="O74" s="674"/>
      <c r="R74" s="716">
        <f t="shared" si="12"/>
        <v>23.789674442804312</v>
      </c>
      <c r="U74" s="716">
        <f t="shared" si="9"/>
        <v>7.9733889097454664</v>
      </c>
    </row>
    <row r="75" spans="1:21" outlineLevel="1">
      <c r="A75" s="711">
        <f t="shared" si="2"/>
        <v>2015</v>
      </c>
      <c r="B75" s="711">
        <f t="shared" si="3"/>
        <v>2</v>
      </c>
      <c r="D75" s="673">
        <v>42036</v>
      </c>
      <c r="E75" s="673"/>
      <c r="F75" s="1140">
        <f>INDEX('Futures Prices'!$1:$1048576, MATCH('Margin Forecast'!$D75, 'Futures Prices'!$C:$C, 0), MATCH('Margin Forecast'!$F$10, 'Futures Prices'!$16:$16, 0))</f>
        <v>100.5066339765177</v>
      </c>
      <c r="J75" s="715">
        <f t="shared" si="10"/>
        <v>3.9463912982218528</v>
      </c>
      <c r="K75" s="674"/>
      <c r="N75" s="715">
        <f t="shared" si="11"/>
        <v>2.9893325208499224</v>
      </c>
      <c r="O75" s="674"/>
      <c r="R75" s="716">
        <f t="shared" si="12"/>
        <v>25.32932521613812</v>
      </c>
      <c r="U75" s="716">
        <f t="shared" si="9"/>
        <v>9.1363333665009598</v>
      </c>
    </row>
    <row r="76" spans="1:21" outlineLevel="1">
      <c r="A76" s="711">
        <f t="shared" si="2"/>
        <v>2015</v>
      </c>
      <c r="B76" s="711">
        <f t="shared" si="3"/>
        <v>3</v>
      </c>
      <c r="D76" s="673">
        <v>42064</v>
      </c>
      <c r="E76" s="673"/>
      <c r="F76" s="1140">
        <f>INDEX('Futures Prices'!$1:$1048576, MATCH('Margin Forecast'!$D76, 'Futures Prices'!$C:$C, 0), MATCH('Margin Forecast'!$F$10, 'Futures Prices'!$16:$16, 0))</f>
        <v>58.750613726504568</v>
      </c>
      <c r="J76" s="715">
        <f t="shared" si="10"/>
        <v>0.59361566266829591</v>
      </c>
      <c r="K76" s="674"/>
      <c r="N76" s="715">
        <f t="shared" si="11"/>
        <v>0.98345052026412838</v>
      </c>
      <c r="O76" s="674"/>
      <c r="R76" s="716">
        <f t="shared" si="12"/>
        <v>13.663956201385449</v>
      </c>
      <c r="U76" s="716">
        <f t="shared" si="9"/>
        <v>6.499508462020585</v>
      </c>
    </row>
    <row r="77" spans="1:21" outlineLevel="1">
      <c r="A77" s="711">
        <f t="shared" si="2"/>
        <v>2015</v>
      </c>
      <c r="B77" s="711">
        <f t="shared" si="3"/>
        <v>4</v>
      </c>
      <c r="D77" s="673">
        <v>42095</v>
      </c>
      <c r="E77" s="673"/>
      <c r="F77" s="1140">
        <f>INDEX('Futures Prices'!$1:$1048576, MATCH('Margin Forecast'!$D77, 'Futures Prices'!$C:$C, 0), MATCH('Margin Forecast'!$F$10, 'Futures Prices'!$16:$16, 0))</f>
        <v>43.77649146666667</v>
      </c>
      <c r="J77" s="715">
        <f t="shared" si="10"/>
        <v>0.47960700924288746</v>
      </c>
      <c r="K77" s="674"/>
      <c r="N77" s="715">
        <f t="shared" si="11"/>
        <v>0.95581999615628366</v>
      </c>
      <c r="O77" s="674"/>
      <c r="R77" s="716">
        <f t="shared" si="12"/>
        <v>8.898190237924025</v>
      </c>
      <c r="U77" s="716">
        <f t="shared" si="9"/>
        <v>4.7920678004603108</v>
      </c>
    </row>
    <row r="78" spans="1:21" outlineLevel="1">
      <c r="A78" s="711">
        <f t="shared" si="2"/>
        <v>2015</v>
      </c>
      <c r="B78" s="711">
        <f t="shared" si="3"/>
        <v>5</v>
      </c>
      <c r="D78" s="673">
        <v>42125</v>
      </c>
      <c r="E78" s="673"/>
      <c r="F78" s="1140">
        <f>INDEX('Futures Prices'!$1:$1048576, MATCH('Margin Forecast'!$D78, 'Futures Prices'!$C:$C, 0), MATCH('Margin Forecast'!$F$10, 'Futures Prices'!$16:$16, 0))</f>
        <v>42.218163481924442</v>
      </c>
      <c r="J78" s="715">
        <f t="shared" ref="J78:J109" si="13">AVERAGE(INDEX($H$14:$H$49,MATCH(DATE($A$2,$B78,$B$2),$D$14:$D$49,0)),INDEX($H$14:$H$49,MATCH(DATE($A$3,$B78,$B$2),$D$14:$D$49,0)),INDEX($H$14:$H$49,MATCH(DATE($A$4,$B78,$B$2),$D$14:$D$49,0)))*F78</f>
        <v>0.83280147824390527</v>
      </c>
      <c r="K78" s="674"/>
      <c r="N78" s="715">
        <f t="shared" ref="N78:N109" si="14">AVERAGE(INDEX($L$14:$L$49,MATCH(DATE($A$2,$B78,$B$2),$D$14:$D$49,0)),INDEX($L$14:$L$49,MATCH(DATE($A$3,$B78,$B$2),$D$14:$D$49,0)),INDEX($L$14:$L$49,MATCH(DATE($A$4,$B78,$B$2),$D$14:$D$49,0)))*F78</f>
        <v>2.8116923744488473</v>
      </c>
      <c r="O78" s="674"/>
      <c r="R78" s="716">
        <f t="shared" ref="R78:R109" si="15">AVERAGE(INDEX($P$14:$P$49,MATCH(DATE($A$2,$B78,$B$2),$D$14:$D$49,0)),INDEX($P$14:$P$49,MATCH(DATE($A$3,$B78,$B$2),$D$14:$D$49,0)),INDEX($P$14:$P$49,MATCH(DATE($A$4,$B78,$B$2),$D$14:$D$49,0)))*F78</f>
        <v>6.3853278596228513</v>
      </c>
      <c r="U78" s="716">
        <f t="shared" si="9"/>
        <v>4.7963434696128626</v>
      </c>
    </row>
    <row r="79" spans="1:21" outlineLevel="1">
      <c r="A79" s="711">
        <f t="shared" ref="A79:A126" si="16">YEAR(D79)</f>
        <v>2015</v>
      </c>
      <c r="B79" s="711">
        <f t="shared" ref="B79:B126" si="17">MONTH(D79)</f>
        <v>6</v>
      </c>
      <c r="D79" s="673">
        <v>42156</v>
      </c>
      <c r="E79" s="673"/>
      <c r="F79" s="1140">
        <f>INDEX('Futures Prices'!$1:$1048576, MATCH('Margin Forecast'!$D79, 'Futures Prices'!$C:$C, 0), MATCH('Margin Forecast'!$F$10, 'Futures Prices'!$16:$16, 0))</f>
        <v>46.149518952196999</v>
      </c>
      <c r="J79" s="715">
        <f t="shared" si="13"/>
        <v>2.9748540928431098</v>
      </c>
      <c r="K79" s="674"/>
      <c r="N79" s="715">
        <f t="shared" si="14"/>
        <v>2.3879175987706636</v>
      </c>
      <c r="O79" s="674"/>
      <c r="R79" s="716">
        <f t="shared" si="15"/>
        <v>6.0658393585675583</v>
      </c>
      <c r="U79" s="716">
        <f t="shared" ref="U79:U126" si="18">AVERAGE(INDEX($S$14:$S$49,MATCH(DATE($A$2,$B79,$B$2),$D$14:$D$49,0)),INDEX($S$14:$S$49,MATCH(DATE($A$3,$B79,$B$2),$D$14:$D$49,0)),INDEX($S$14:$S$49,MATCH(DATE($A$4,$B79,$B$2),$D$14:$D$49,0)))*F79</f>
        <v>4.8600968882157343</v>
      </c>
    </row>
    <row r="80" spans="1:21" outlineLevel="1">
      <c r="A80" s="711">
        <f t="shared" si="16"/>
        <v>2015</v>
      </c>
      <c r="B80" s="711">
        <f t="shared" si="17"/>
        <v>7</v>
      </c>
      <c r="D80" s="673">
        <v>42186</v>
      </c>
      <c r="E80" s="673"/>
      <c r="F80" s="1140">
        <f>INDEX('Futures Prices'!$1:$1048576, MATCH('Margin Forecast'!$D80, 'Futures Prices'!$C:$C, 0), MATCH('Margin Forecast'!$F$10, 'Futures Prices'!$16:$16, 0))</f>
        <v>55.361879269166465</v>
      </c>
      <c r="J80" s="715">
        <f t="shared" si="13"/>
        <v>7.2447794033807318</v>
      </c>
      <c r="K80" s="674"/>
      <c r="N80" s="715">
        <f t="shared" si="14"/>
        <v>4.6207932480526601</v>
      </c>
      <c r="O80" s="674"/>
      <c r="R80" s="716">
        <f t="shared" si="15"/>
        <v>6.5315691780345082</v>
      </c>
      <c r="U80" s="716">
        <f t="shared" si="18"/>
        <v>6.3041870523448411</v>
      </c>
    </row>
    <row r="81" spans="1:21" outlineLevel="1">
      <c r="A81" s="711">
        <f t="shared" si="16"/>
        <v>2015</v>
      </c>
      <c r="B81" s="711">
        <f t="shared" si="17"/>
        <v>8</v>
      </c>
      <c r="D81" s="673">
        <v>42217</v>
      </c>
      <c r="E81" s="673"/>
      <c r="F81" s="1140">
        <f>INDEX('Futures Prices'!$1:$1048576, MATCH('Margin Forecast'!$D81, 'Futures Prices'!$C:$C, 0), MATCH('Margin Forecast'!$F$10, 'Futures Prices'!$16:$16, 0))</f>
        <v>55.354410778015691</v>
      </c>
      <c r="J81" s="715">
        <f t="shared" si="13"/>
        <v>4.876227520069901</v>
      </c>
      <c r="K81" s="674"/>
      <c r="N81" s="715">
        <f t="shared" si="14"/>
        <v>4.227965401785382</v>
      </c>
      <c r="O81" s="674"/>
      <c r="R81" s="716">
        <f t="shared" si="15"/>
        <v>6.1467899766586145</v>
      </c>
      <c r="U81" s="716">
        <f t="shared" si="18"/>
        <v>6.1007487924574377</v>
      </c>
    </row>
    <row r="82" spans="1:21" outlineLevel="1">
      <c r="A82" s="711">
        <f t="shared" si="16"/>
        <v>2015</v>
      </c>
      <c r="B82" s="711">
        <f t="shared" si="17"/>
        <v>9</v>
      </c>
      <c r="D82" s="673">
        <v>42248</v>
      </c>
      <c r="E82" s="673"/>
      <c r="F82" s="1140">
        <f>INDEX('Futures Prices'!$1:$1048576, MATCH('Margin Forecast'!$D82, 'Futures Prices'!$C:$C, 0), MATCH('Margin Forecast'!$F$10, 'Futures Prices'!$16:$16, 0))</f>
        <v>42.572232518401677</v>
      </c>
      <c r="J82" s="715">
        <f t="shared" si="13"/>
        <v>1.852492648370103</v>
      </c>
      <c r="K82" s="674"/>
      <c r="N82" s="715">
        <f t="shared" si="14"/>
        <v>1.8041269560043769</v>
      </c>
      <c r="O82" s="674"/>
      <c r="R82" s="716">
        <f t="shared" si="15"/>
        <v>6.7085202433969346</v>
      </c>
      <c r="U82" s="716">
        <f t="shared" si="18"/>
        <v>4.294665899371493</v>
      </c>
    </row>
    <row r="83" spans="1:21" outlineLevel="1">
      <c r="A83" s="711">
        <f t="shared" si="16"/>
        <v>2015</v>
      </c>
      <c r="B83" s="711">
        <f t="shared" si="17"/>
        <v>10</v>
      </c>
      <c r="D83" s="673">
        <v>42278</v>
      </c>
      <c r="E83" s="673"/>
      <c r="F83" s="1140">
        <f>INDEX('Futures Prices'!$1:$1048576, MATCH('Margin Forecast'!$D83, 'Futures Prices'!$C:$C, 0), MATCH('Margin Forecast'!$F$10, 'Futures Prices'!$16:$16, 0))</f>
        <v>44.070248460154772</v>
      </c>
      <c r="J83" s="715">
        <f t="shared" si="13"/>
        <v>0.99608087758604691</v>
      </c>
      <c r="K83" s="674"/>
      <c r="N83" s="715">
        <f t="shared" si="14"/>
        <v>0.90731506415636998</v>
      </c>
      <c r="O83" s="674"/>
      <c r="R83" s="716">
        <f t="shared" si="15"/>
        <v>10.11209887276287</v>
      </c>
      <c r="U83" s="716">
        <f t="shared" si="18"/>
        <v>4.2848228071971333</v>
      </c>
    </row>
    <row r="84" spans="1:21" outlineLevel="1">
      <c r="A84" s="711">
        <f t="shared" si="16"/>
        <v>2015</v>
      </c>
      <c r="B84" s="711">
        <f t="shared" si="17"/>
        <v>11</v>
      </c>
      <c r="D84" s="673">
        <v>42309</v>
      </c>
      <c r="E84" s="673"/>
      <c r="F84" s="1140">
        <f>INDEX('Futures Prices'!$1:$1048576, MATCH('Margin Forecast'!$D84, 'Futures Prices'!$C:$C, 0), MATCH('Margin Forecast'!$F$10, 'Futures Prices'!$16:$16, 0))</f>
        <v>52.294819611340209</v>
      </c>
      <c r="J84" s="715">
        <f t="shared" si="13"/>
        <v>3.3139620338620528</v>
      </c>
      <c r="K84" s="674"/>
      <c r="N84" s="715">
        <f t="shared" si="14"/>
        <v>1.966804638605258</v>
      </c>
      <c r="O84" s="674"/>
      <c r="R84" s="716">
        <f t="shared" si="15"/>
        <v>10.950684952853079</v>
      </c>
      <c r="U84" s="716">
        <f t="shared" si="18"/>
        <v>3.6340328671603888</v>
      </c>
    </row>
    <row r="85" spans="1:21" outlineLevel="1">
      <c r="A85" s="711">
        <f t="shared" si="16"/>
        <v>2015</v>
      </c>
      <c r="B85" s="711">
        <f t="shared" si="17"/>
        <v>12</v>
      </c>
      <c r="D85" s="673">
        <v>42339</v>
      </c>
      <c r="E85" s="673"/>
      <c r="F85" s="1140">
        <f>INDEX('Futures Prices'!$1:$1048576, MATCH('Margin Forecast'!$D85, 'Futures Prices'!$C:$C, 0), MATCH('Margin Forecast'!$F$10, 'Futures Prices'!$16:$16, 0))</f>
        <v>81.195780051011354</v>
      </c>
      <c r="J85" s="715">
        <f t="shared" si="13"/>
        <v>5.6076076988125898</v>
      </c>
      <c r="K85" s="674"/>
      <c r="N85" s="715">
        <f t="shared" si="14"/>
        <v>2.2911046944295808</v>
      </c>
      <c r="O85" s="674"/>
      <c r="R85" s="716">
        <f t="shared" si="15"/>
        <v>19.634203887605906</v>
      </c>
      <c r="U85" s="716">
        <f t="shared" si="18"/>
        <v>5.3325065991532323</v>
      </c>
    </row>
    <row r="86" spans="1:21" outlineLevel="1">
      <c r="A86" s="711">
        <f t="shared" si="16"/>
        <v>2016</v>
      </c>
      <c r="B86" s="711">
        <f t="shared" si="17"/>
        <v>1</v>
      </c>
      <c r="D86" s="673">
        <v>42370</v>
      </c>
      <c r="E86" s="673"/>
      <c r="F86" s="1140">
        <f>INDEX('Futures Prices'!$1:$1048576, MATCH('Margin Forecast'!$D86, 'Futures Prices'!$C:$C, 0), MATCH('Margin Forecast'!$F$10, 'Futures Prices'!$16:$16, 0))</f>
        <v>103.32354648496397</v>
      </c>
      <c r="J86" s="715">
        <f t="shared" si="13"/>
        <v>8.6984124710296999</v>
      </c>
      <c r="K86" s="674"/>
      <c r="N86" s="715">
        <f t="shared" si="14"/>
        <v>3.8219956582749095</v>
      </c>
      <c r="O86" s="674"/>
      <c r="R86" s="716">
        <f t="shared" si="15"/>
        <v>24.448781818657004</v>
      </c>
      <c r="U86" s="716">
        <f t="shared" si="18"/>
        <v>8.1942964910404612</v>
      </c>
    </row>
    <row r="87" spans="1:21" outlineLevel="1">
      <c r="A87" s="711">
        <f t="shared" si="16"/>
        <v>2016</v>
      </c>
      <c r="B87" s="711">
        <f t="shared" si="17"/>
        <v>2</v>
      </c>
      <c r="D87" s="673">
        <v>42401</v>
      </c>
      <c r="E87" s="673"/>
      <c r="F87" s="1140">
        <f>INDEX('Futures Prices'!$1:$1048576, MATCH('Margin Forecast'!$D87, 'Futures Prices'!$C:$C, 0), MATCH('Margin Forecast'!$F$10, 'Futures Prices'!$16:$16, 0))</f>
        <v>103.36759010364523</v>
      </c>
      <c r="J87" s="715">
        <f t="shared" si="13"/>
        <v>4.0587266925932175</v>
      </c>
      <c r="K87" s="674"/>
      <c r="N87" s="715">
        <f t="shared" si="14"/>
        <v>3.0744249058316471</v>
      </c>
      <c r="O87" s="674"/>
      <c r="R87" s="716">
        <f t="shared" si="15"/>
        <v>26.050333226316305</v>
      </c>
      <c r="U87" s="716">
        <f t="shared" si="18"/>
        <v>9.3964022583760727</v>
      </c>
    </row>
    <row r="88" spans="1:21" outlineLevel="1">
      <c r="A88" s="711">
        <f t="shared" si="16"/>
        <v>2016</v>
      </c>
      <c r="B88" s="711">
        <f t="shared" si="17"/>
        <v>3</v>
      </c>
      <c r="D88" s="673">
        <v>42430</v>
      </c>
      <c r="E88" s="673"/>
      <c r="F88" s="1140">
        <f>INDEX('Futures Prices'!$1:$1048576, MATCH('Margin Forecast'!$D88, 'Futures Prices'!$C:$C, 0), MATCH('Margin Forecast'!$F$10, 'Futures Prices'!$16:$16, 0))</f>
        <v>60.575705096137263</v>
      </c>
      <c r="J88" s="715">
        <f t="shared" si="13"/>
        <v>0.61205636914088102</v>
      </c>
      <c r="K88" s="674"/>
      <c r="N88" s="715">
        <f t="shared" si="14"/>
        <v>1.0140014701716542</v>
      </c>
      <c r="O88" s="674"/>
      <c r="R88" s="716">
        <f t="shared" si="15"/>
        <v>14.088427827405882</v>
      </c>
      <c r="U88" s="716">
        <f t="shared" si="18"/>
        <v>6.7014160855921316</v>
      </c>
    </row>
    <row r="89" spans="1:21" outlineLevel="1">
      <c r="A89" s="711">
        <f t="shared" si="16"/>
        <v>2016</v>
      </c>
      <c r="B89" s="711">
        <f t="shared" si="17"/>
        <v>4</v>
      </c>
      <c r="D89" s="673">
        <v>42461</v>
      </c>
      <c r="E89" s="673"/>
      <c r="F89" s="1140">
        <f>INDEX('Futures Prices'!$1:$1048576, MATCH('Margin Forecast'!$D89, 'Futures Prices'!$C:$C, 0), MATCH('Margin Forecast'!$F$10, 'Futures Prices'!$16:$16, 0))</f>
        <v>44.872889991333338</v>
      </c>
      <c r="J89" s="715">
        <f t="shared" si="13"/>
        <v>0.49161894532401657</v>
      </c>
      <c r="K89" s="674"/>
      <c r="N89" s="715">
        <f t="shared" si="14"/>
        <v>0.9797588637658684</v>
      </c>
      <c r="O89" s="674"/>
      <c r="R89" s="716">
        <f t="shared" si="15"/>
        <v>9.1210487248014367</v>
      </c>
      <c r="U89" s="716">
        <f t="shared" si="18"/>
        <v>4.9120869223793884</v>
      </c>
    </row>
    <row r="90" spans="1:21" outlineLevel="1">
      <c r="A90" s="711">
        <f t="shared" si="16"/>
        <v>2016</v>
      </c>
      <c r="B90" s="711">
        <f t="shared" si="17"/>
        <v>5</v>
      </c>
      <c r="D90" s="673">
        <v>42491</v>
      </c>
      <c r="E90" s="673"/>
      <c r="F90" s="1140">
        <f>INDEX('Futures Prices'!$1:$1048576, MATCH('Margin Forecast'!$D90, 'Futures Prices'!$C:$C, 0), MATCH('Margin Forecast'!$F$10, 'Futures Prices'!$16:$16, 0))</f>
        <v>43.307382529933406</v>
      </c>
      <c r="J90" s="715">
        <f t="shared" si="13"/>
        <v>0.85428756760687952</v>
      </c>
      <c r="K90" s="674"/>
      <c r="N90" s="715">
        <f t="shared" si="14"/>
        <v>2.8842334003677617</v>
      </c>
      <c r="O90" s="674"/>
      <c r="R90" s="716">
        <f t="shared" si="15"/>
        <v>6.5500678710035283</v>
      </c>
      <c r="U90" s="716">
        <f t="shared" si="18"/>
        <v>4.9200880439151646</v>
      </c>
    </row>
    <row r="91" spans="1:21" outlineLevel="1">
      <c r="A91" s="711">
        <f t="shared" si="16"/>
        <v>2016</v>
      </c>
      <c r="B91" s="711">
        <f t="shared" si="17"/>
        <v>6</v>
      </c>
      <c r="D91" s="673">
        <v>42522</v>
      </c>
      <c r="E91" s="673"/>
      <c r="F91" s="1140">
        <f>INDEX('Futures Prices'!$1:$1048576, MATCH('Margin Forecast'!$D91, 'Futures Prices'!$C:$C, 0), MATCH('Margin Forecast'!$F$10, 'Futures Prices'!$16:$16, 0))</f>
        <v>47.295426585888457</v>
      </c>
      <c r="J91" s="715">
        <f t="shared" si="13"/>
        <v>3.0487206919216012</v>
      </c>
      <c r="K91" s="674"/>
      <c r="N91" s="715">
        <f t="shared" si="14"/>
        <v>2.4472103729356953</v>
      </c>
      <c r="O91" s="674"/>
      <c r="R91" s="716">
        <f t="shared" si="15"/>
        <v>6.2164561316899087</v>
      </c>
      <c r="U91" s="716">
        <f t="shared" si="18"/>
        <v>4.9807746818554737</v>
      </c>
    </row>
    <row r="92" spans="1:21" outlineLevel="1">
      <c r="A92" s="711">
        <f t="shared" si="16"/>
        <v>2016</v>
      </c>
      <c r="B92" s="711">
        <f t="shared" si="17"/>
        <v>7</v>
      </c>
      <c r="D92" s="673">
        <v>42552</v>
      </c>
      <c r="E92" s="673"/>
      <c r="F92" s="1140">
        <f>INDEX('Futures Prices'!$1:$1048576, MATCH('Margin Forecast'!$D92, 'Futures Prices'!$C:$C, 0), MATCH('Margin Forecast'!$F$10, 'Futures Prices'!$16:$16, 0))</f>
        <v>56.751511521674232</v>
      </c>
      <c r="J92" s="715">
        <f t="shared" si="13"/>
        <v>7.4266297894973921</v>
      </c>
      <c r="K92" s="674"/>
      <c r="N92" s="715">
        <f t="shared" si="14"/>
        <v>4.7367792552914052</v>
      </c>
      <c r="O92" s="674"/>
      <c r="R92" s="716">
        <f t="shared" si="15"/>
        <v>6.6955173551755518</v>
      </c>
      <c r="U92" s="716">
        <f t="shared" si="18"/>
        <v>6.4624277365381495</v>
      </c>
    </row>
    <row r="93" spans="1:21" outlineLevel="1">
      <c r="A93" s="711">
        <f t="shared" si="16"/>
        <v>2016</v>
      </c>
      <c r="B93" s="711">
        <f t="shared" si="17"/>
        <v>8</v>
      </c>
      <c r="D93" s="673">
        <v>42583</v>
      </c>
      <c r="E93" s="673"/>
      <c r="F93" s="1140">
        <f>INDEX('Futures Prices'!$1:$1048576, MATCH('Margin Forecast'!$D93, 'Futures Prices'!$C:$C, 0), MATCH('Margin Forecast'!$F$10, 'Futures Prices'!$16:$16, 0))</f>
        <v>56.776868603675943</v>
      </c>
      <c r="J93" s="715">
        <f t="shared" si="13"/>
        <v>5.0015333068741219</v>
      </c>
      <c r="K93" s="674"/>
      <c r="N93" s="715">
        <f t="shared" si="14"/>
        <v>4.3366126150401376</v>
      </c>
      <c r="O93" s="674"/>
      <c r="R93" s="716">
        <f t="shared" si="15"/>
        <v>6.3047457634169959</v>
      </c>
      <c r="U93" s="716">
        <f t="shared" si="18"/>
        <v>6.2575214459867015</v>
      </c>
    </row>
    <row r="94" spans="1:21" outlineLevel="1">
      <c r="A94" s="711">
        <f t="shared" si="16"/>
        <v>2016</v>
      </c>
      <c r="B94" s="711">
        <f t="shared" si="17"/>
        <v>9</v>
      </c>
      <c r="D94" s="673">
        <v>42614</v>
      </c>
      <c r="E94" s="673"/>
      <c r="F94" s="1140">
        <f>INDEX('Futures Prices'!$1:$1048576, MATCH('Margin Forecast'!$D94, 'Futures Prices'!$C:$C, 0), MATCH('Margin Forecast'!$F$10, 'Futures Prices'!$16:$16, 0))</f>
        <v>43.680247077089909</v>
      </c>
      <c r="J94" s="715">
        <f t="shared" si="13"/>
        <v>1.9007069115842712</v>
      </c>
      <c r="K94" s="674"/>
      <c r="N94" s="715">
        <f t="shared" si="14"/>
        <v>1.851082420040957</v>
      </c>
      <c r="O94" s="674"/>
      <c r="R94" s="716">
        <f t="shared" si="15"/>
        <v>6.8831208611523129</v>
      </c>
      <c r="U94" s="716">
        <f t="shared" si="18"/>
        <v>4.4064418636493503</v>
      </c>
    </row>
    <row r="95" spans="1:21" outlineLevel="1">
      <c r="A95" s="711">
        <f t="shared" si="16"/>
        <v>2016</v>
      </c>
      <c r="B95" s="711">
        <f t="shared" si="17"/>
        <v>10</v>
      </c>
      <c r="D95" s="673">
        <v>42644</v>
      </c>
      <c r="E95" s="673"/>
      <c r="F95" s="1140">
        <f>INDEX('Futures Prices'!$1:$1048576, MATCH('Margin Forecast'!$D95, 'Futures Prices'!$C:$C, 0), MATCH('Margin Forecast'!$F$10, 'Futures Prices'!$16:$16, 0))</f>
        <v>45.288589055938601</v>
      </c>
      <c r="J95" s="715">
        <f t="shared" si="13"/>
        <v>1.0236179533287508</v>
      </c>
      <c r="K95" s="674"/>
      <c r="N95" s="715">
        <f t="shared" si="14"/>
        <v>0.93239817156901272</v>
      </c>
      <c r="O95" s="674"/>
      <c r="R95" s="716">
        <f t="shared" si="15"/>
        <v>10.391652108692677</v>
      </c>
      <c r="U95" s="716">
        <f t="shared" si="18"/>
        <v>4.4032785399000831</v>
      </c>
    </row>
    <row r="96" spans="1:21" outlineLevel="1">
      <c r="A96" s="711">
        <f t="shared" si="16"/>
        <v>2016</v>
      </c>
      <c r="B96" s="711">
        <f t="shared" si="17"/>
        <v>11</v>
      </c>
      <c r="D96" s="673">
        <v>42675</v>
      </c>
      <c r="E96" s="673"/>
      <c r="F96" s="1140">
        <f>INDEX('Futures Prices'!$1:$1048576, MATCH('Margin Forecast'!$D96, 'Futures Prices'!$C:$C, 0), MATCH('Margin Forecast'!$F$10, 'Futures Prices'!$16:$16, 0))</f>
        <v>53.704270495894335</v>
      </c>
      <c r="J96" s="715">
        <f t="shared" si="13"/>
        <v>3.4032799960372735</v>
      </c>
      <c r="K96" s="674"/>
      <c r="N96" s="715">
        <f t="shared" si="14"/>
        <v>2.0198139913141868</v>
      </c>
      <c r="O96" s="674"/>
      <c r="R96" s="716">
        <f t="shared" si="15"/>
        <v>11.245828003502886</v>
      </c>
      <c r="U96" s="716">
        <f t="shared" si="18"/>
        <v>3.7319773839822283</v>
      </c>
    </row>
    <row r="97" spans="1:21" outlineLevel="1">
      <c r="A97" s="711">
        <f t="shared" si="16"/>
        <v>2016</v>
      </c>
      <c r="B97" s="711">
        <f t="shared" si="17"/>
        <v>12</v>
      </c>
      <c r="D97" s="673">
        <v>42705</v>
      </c>
      <c r="E97" s="673"/>
      <c r="F97" s="1140">
        <f>INDEX('Futures Prices'!$1:$1048576, MATCH('Margin Forecast'!$D97, 'Futures Prices'!$C:$C, 0), MATCH('Margin Forecast'!$F$10, 'Futures Prices'!$16:$16, 0))</f>
        <v>83.200839546800694</v>
      </c>
      <c r="J97" s="715">
        <f t="shared" si="13"/>
        <v>5.7460827163332269</v>
      </c>
      <c r="K97" s="674"/>
      <c r="N97" s="715">
        <f t="shared" si="14"/>
        <v>2.3476815414101444</v>
      </c>
      <c r="O97" s="674"/>
      <c r="R97" s="716">
        <f t="shared" si="15"/>
        <v>20.119053554945456</v>
      </c>
      <c r="U97" s="716">
        <f t="shared" si="18"/>
        <v>5.4641882331774907</v>
      </c>
    </row>
    <row r="98" spans="1:21" outlineLevel="1">
      <c r="A98" s="711">
        <f t="shared" si="16"/>
        <v>2017</v>
      </c>
      <c r="B98" s="711">
        <f t="shared" si="17"/>
        <v>1</v>
      </c>
      <c r="D98" s="673">
        <v>42736</v>
      </c>
      <c r="E98" s="673"/>
      <c r="F98" s="1140">
        <f>INDEX('Futures Prices'!$1:$1048576, MATCH('Margin Forecast'!$D98, 'Futures Prices'!$C:$C, 0), MATCH('Margin Forecast'!$F$10, 'Futures Prices'!$16:$16, 0))</f>
        <v>105.7948182602692</v>
      </c>
      <c r="J98" s="715">
        <f t="shared" si="13"/>
        <v>8.906459348638057</v>
      </c>
      <c r="K98" s="674"/>
      <c r="N98" s="715">
        <f t="shared" si="14"/>
        <v>3.9134093806736892</v>
      </c>
      <c r="O98" s="674"/>
      <c r="R98" s="716">
        <f t="shared" si="15"/>
        <v>25.033542858173153</v>
      </c>
      <c r="U98" s="716">
        <f t="shared" si="18"/>
        <v>8.3902860241691748</v>
      </c>
    </row>
    <row r="99" spans="1:21" outlineLevel="1">
      <c r="A99" s="711">
        <f t="shared" si="16"/>
        <v>2017</v>
      </c>
      <c r="B99" s="711">
        <f t="shared" si="17"/>
        <v>2</v>
      </c>
      <c r="D99" s="673">
        <v>42767</v>
      </c>
      <c r="E99" s="673"/>
      <c r="F99" s="1140">
        <f>INDEX('Futures Prices'!$1:$1048576, MATCH('Margin Forecast'!$D99, 'Futures Prices'!$C:$C, 0), MATCH('Margin Forecast'!$F$10, 'Futures Prices'!$16:$16, 0))</f>
        <v>105.84770203415827</v>
      </c>
      <c r="J99" s="715">
        <f t="shared" si="13"/>
        <v>4.156108245968885</v>
      </c>
      <c r="K99" s="674"/>
      <c r="N99" s="715">
        <f t="shared" si="14"/>
        <v>3.14818997939846</v>
      </c>
      <c r="O99" s="674"/>
      <c r="R99" s="716">
        <f t="shared" si="15"/>
        <v>26.675362233606172</v>
      </c>
      <c r="U99" s="716">
        <f t="shared" si="18"/>
        <v>9.6218513505096084</v>
      </c>
    </row>
    <row r="100" spans="1:21" outlineLevel="1">
      <c r="A100" s="711">
        <f t="shared" si="16"/>
        <v>2017</v>
      </c>
      <c r="B100" s="711">
        <f t="shared" si="17"/>
        <v>3</v>
      </c>
      <c r="D100" s="673">
        <v>42795</v>
      </c>
      <c r="E100" s="673"/>
      <c r="F100" s="1140">
        <f>INDEX('Futures Prices'!$1:$1048576, MATCH('Margin Forecast'!$D100, 'Futures Prices'!$C:$C, 0), MATCH('Margin Forecast'!$F$10, 'Futures Prices'!$16:$16, 0))</f>
        <v>62.103154998996594</v>
      </c>
      <c r="J100" s="715">
        <f t="shared" si="13"/>
        <v>0.62748970896094514</v>
      </c>
      <c r="K100" s="674"/>
      <c r="N100" s="715">
        <f t="shared" si="14"/>
        <v>1.0395700779931367</v>
      </c>
      <c r="O100" s="674"/>
      <c r="R100" s="716">
        <f t="shared" si="15"/>
        <v>14.443675326089707</v>
      </c>
      <c r="U100" s="716">
        <f t="shared" si="18"/>
        <v>6.8703959981282283</v>
      </c>
    </row>
    <row r="101" spans="1:21" outlineLevel="1">
      <c r="A101" s="711">
        <f t="shared" si="16"/>
        <v>2017</v>
      </c>
      <c r="B101" s="711">
        <f t="shared" si="17"/>
        <v>4</v>
      </c>
      <c r="D101" s="673">
        <v>42826</v>
      </c>
      <c r="E101" s="673"/>
      <c r="F101" s="1140">
        <f>INDEX('Futures Prices'!$1:$1048576, MATCH('Margin Forecast'!$D101, 'Futures Prices'!$C:$C, 0), MATCH('Margin Forecast'!$F$10, 'Futures Prices'!$16:$16, 0))</f>
        <v>45.950321016138332</v>
      </c>
      <c r="J101" s="715">
        <f t="shared" si="13"/>
        <v>0.50342307704310818</v>
      </c>
      <c r="K101" s="674"/>
      <c r="N101" s="715">
        <f t="shared" si="14"/>
        <v>1.0032835932150508</v>
      </c>
      <c r="O101" s="674"/>
      <c r="R101" s="716">
        <f t="shared" si="15"/>
        <v>9.3400517994141286</v>
      </c>
      <c r="U101" s="716">
        <f t="shared" si="18"/>
        <v>5.0300297347931338</v>
      </c>
    </row>
    <row r="102" spans="1:21" outlineLevel="1">
      <c r="A102" s="711">
        <f t="shared" si="16"/>
        <v>2017</v>
      </c>
      <c r="B102" s="711">
        <f t="shared" si="17"/>
        <v>5</v>
      </c>
      <c r="D102" s="673">
        <v>42856</v>
      </c>
      <c r="E102" s="673"/>
      <c r="F102" s="1140">
        <f>INDEX('Futures Prices'!$1:$1048576, MATCH('Margin Forecast'!$D102, 'Futures Prices'!$C:$C, 0), MATCH('Margin Forecast'!$F$10, 'Futures Prices'!$16:$16, 0))</f>
        <v>44.340316168794935</v>
      </c>
      <c r="J102" s="715">
        <f t="shared" si="13"/>
        <v>0.87466336300925518</v>
      </c>
      <c r="K102" s="674"/>
      <c r="N102" s="715">
        <f t="shared" si="14"/>
        <v>2.9530258677838805</v>
      </c>
      <c r="O102" s="674"/>
      <c r="R102" s="716">
        <f t="shared" si="15"/>
        <v>6.7062949400513814</v>
      </c>
      <c r="U102" s="716">
        <f t="shared" si="18"/>
        <v>5.0374381156542665</v>
      </c>
    </row>
    <row r="103" spans="1:21" outlineLevel="1">
      <c r="A103" s="711">
        <f t="shared" si="16"/>
        <v>2017</v>
      </c>
      <c r="B103" s="711">
        <f t="shared" si="17"/>
        <v>6</v>
      </c>
      <c r="D103" s="673">
        <v>42887</v>
      </c>
      <c r="E103" s="673"/>
      <c r="F103" s="1140">
        <f>INDEX('Futures Prices'!$1:$1048576, MATCH('Margin Forecast'!$D103, 'Futures Prices'!$C:$C, 0), MATCH('Margin Forecast'!$F$10, 'Futures Prices'!$16:$16, 0))</f>
        <v>48.410471499136136</v>
      </c>
      <c r="J103" s="715">
        <f t="shared" si="13"/>
        <v>3.1205978425223408</v>
      </c>
      <c r="K103" s="674"/>
      <c r="N103" s="715">
        <f t="shared" si="14"/>
        <v>2.5049062153240391</v>
      </c>
      <c r="O103" s="674"/>
      <c r="R103" s="716">
        <f t="shared" si="15"/>
        <v>6.3630163445570105</v>
      </c>
      <c r="U103" s="716">
        <f t="shared" si="18"/>
        <v>5.0982022615169047</v>
      </c>
    </row>
    <row r="104" spans="1:21" outlineLevel="1">
      <c r="A104" s="711">
        <f t="shared" si="16"/>
        <v>2017</v>
      </c>
      <c r="B104" s="711">
        <f t="shared" si="17"/>
        <v>7</v>
      </c>
      <c r="D104" s="673">
        <v>42917</v>
      </c>
      <c r="E104" s="673"/>
      <c r="F104" s="1140">
        <f>INDEX('Futures Prices'!$1:$1048576, MATCH('Margin Forecast'!$D104, 'Futures Prices'!$C:$C, 0), MATCH('Margin Forecast'!$F$10, 'Futures Prices'!$16:$16, 0))</f>
        <v>58.079084849039432</v>
      </c>
      <c r="J104" s="715">
        <f t="shared" si="13"/>
        <v>7.6003590058018267</v>
      </c>
      <c r="K104" s="674"/>
      <c r="N104" s="715">
        <f t="shared" si="14"/>
        <v>4.8475854986553379</v>
      </c>
      <c r="O104" s="674"/>
      <c r="R104" s="716">
        <f t="shared" si="15"/>
        <v>6.8521438487315365</v>
      </c>
      <c r="U104" s="716">
        <f t="shared" si="18"/>
        <v>6.6136016253565391</v>
      </c>
    </row>
    <row r="105" spans="1:21" outlineLevel="1">
      <c r="A105" s="711">
        <f t="shared" si="16"/>
        <v>2017</v>
      </c>
      <c r="B105" s="711">
        <f t="shared" si="17"/>
        <v>8</v>
      </c>
      <c r="D105" s="673">
        <v>42948</v>
      </c>
      <c r="E105" s="673"/>
      <c r="F105" s="1140">
        <f>INDEX('Futures Prices'!$1:$1048576, MATCH('Margin Forecast'!$D105, 'Futures Prices'!$C:$C, 0), MATCH('Margin Forecast'!$F$10, 'Futures Prices'!$16:$16, 0))</f>
        <v>58.061272487015962</v>
      </c>
      <c r="J105" s="715">
        <f t="shared" si="13"/>
        <v>5.1146777785575726</v>
      </c>
      <c r="K105" s="674"/>
      <c r="N105" s="715">
        <f t="shared" si="14"/>
        <v>4.434715279387115</v>
      </c>
      <c r="O105" s="674"/>
      <c r="R105" s="716">
        <f t="shared" si="15"/>
        <v>6.4473714513275127</v>
      </c>
      <c r="U105" s="716">
        <f t="shared" si="18"/>
        <v>6.3990788274163002</v>
      </c>
    </row>
    <row r="106" spans="1:21" outlineLevel="1">
      <c r="A106" s="711">
        <f t="shared" si="16"/>
        <v>2017</v>
      </c>
      <c r="B106" s="711">
        <f t="shared" si="17"/>
        <v>9</v>
      </c>
      <c r="D106" s="673">
        <v>42979</v>
      </c>
      <c r="E106" s="673"/>
      <c r="F106" s="1140">
        <f>INDEX('Futures Prices'!$1:$1048576, MATCH('Margin Forecast'!$D106, 'Futures Prices'!$C:$C, 0), MATCH('Margin Forecast'!$F$10, 'Futures Prices'!$16:$16, 0))</f>
        <v>44.668926716240307</v>
      </c>
      <c r="J106" s="715">
        <f t="shared" si="13"/>
        <v>1.9437284224323963</v>
      </c>
      <c r="K106" s="674"/>
      <c r="N106" s="715">
        <f t="shared" si="14"/>
        <v>1.8929807063728499</v>
      </c>
      <c r="O106" s="674"/>
      <c r="R106" s="716">
        <f t="shared" si="15"/>
        <v>7.0389167163639916</v>
      </c>
      <c r="U106" s="716">
        <f t="shared" si="18"/>
        <v>4.5061793798772536</v>
      </c>
    </row>
    <row r="107" spans="1:21" outlineLevel="1">
      <c r="A107" s="711">
        <f t="shared" si="16"/>
        <v>2017</v>
      </c>
      <c r="B107" s="711">
        <f t="shared" si="17"/>
        <v>10</v>
      </c>
      <c r="D107" s="673">
        <v>43009</v>
      </c>
      <c r="E107" s="673"/>
      <c r="F107" s="1140">
        <f>INDEX('Futures Prices'!$1:$1048576, MATCH('Margin Forecast'!$D107, 'Futures Prices'!$C:$C, 0), MATCH('Margin Forecast'!$F$10, 'Futures Prices'!$16:$16, 0))</f>
        <v>46.359651954008932</v>
      </c>
      <c r="J107" s="715">
        <f t="shared" si="13"/>
        <v>1.0478262414309687</v>
      </c>
      <c r="K107" s="674"/>
      <c r="N107" s="715">
        <f t="shared" si="14"/>
        <v>0.95444913647239449</v>
      </c>
      <c r="O107" s="674"/>
      <c r="R107" s="716">
        <f t="shared" si="15"/>
        <v>10.637411874127798</v>
      </c>
      <c r="U107" s="716">
        <f t="shared" si="18"/>
        <v>4.5074148879795306</v>
      </c>
    </row>
    <row r="108" spans="1:21" outlineLevel="1">
      <c r="A108" s="711">
        <f t="shared" si="16"/>
        <v>2017</v>
      </c>
      <c r="B108" s="711">
        <f t="shared" si="17"/>
        <v>11</v>
      </c>
      <c r="D108" s="673">
        <v>43040</v>
      </c>
      <c r="E108" s="673"/>
      <c r="F108" s="1140">
        <f>INDEX('Futures Prices'!$1:$1048576, MATCH('Margin Forecast'!$D108, 'Futures Prices'!$C:$C, 0), MATCH('Margin Forecast'!$F$10, 'Futures Prices'!$16:$16, 0))</f>
        <v>55.080558066588033</v>
      </c>
      <c r="J108" s="715">
        <f t="shared" si="13"/>
        <v>3.4904963740810766</v>
      </c>
      <c r="K108" s="674"/>
      <c r="N108" s="715">
        <f t="shared" si="14"/>
        <v>2.0715760740254949</v>
      </c>
      <c r="O108" s="674"/>
      <c r="R108" s="716">
        <f t="shared" si="15"/>
        <v>11.534026561279839</v>
      </c>
      <c r="U108" s="716">
        <f t="shared" si="18"/>
        <v>3.8276173403629294</v>
      </c>
    </row>
    <row r="109" spans="1:21" outlineLevel="1">
      <c r="A109" s="711">
        <f t="shared" si="16"/>
        <v>2017</v>
      </c>
      <c r="B109" s="711">
        <f t="shared" si="17"/>
        <v>12</v>
      </c>
      <c r="D109" s="673">
        <v>43070</v>
      </c>
      <c r="E109" s="673"/>
      <c r="F109" s="1140">
        <f>INDEX('Futures Prices'!$1:$1048576, MATCH('Margin Forecast'!$D109, 'Futures Prices'!$C:$C, 0), MATCH('Margin Forecast'!$F$10, 'Futures Prices'!$16:$16, 0))</f>
        <v>85.307370351082042</v>
      </c>
      <c r="J109" s="715">
        <f t="shared" si="13"/>
        <v>5.8915656262634313</v>
      </c>
      <c r="K109" s="674"/>
      <c r="N109" s="715">
        <f t="shared" si="14"/>
        <v>2.4071216085123681</v>
      </c>
      <c r="O109" s="674"/>
      <c r="R109" s="716">
        <f t="shared" si="15"/>
        <v>20.628440314710534</v>
      </c>
      <c r="U109" s="716">
        <f t="shared" si="18"/>
        <v>5.6025339625749133</v>
      </c>
    </row>
    <row r="110" spans="1:21" outlineLevel="1">
      <c r="A110" s="711">
        <f t="shared" si="16"/>
        <v>2018</v>
      </c>
      <c r="B110" s="711">
        <f t="shared" si="17"/>
        <v>1</v>
      </c>
      <c r="D110" s="673">
        <v>43101</v>
      </c>
      <c r="E110" s="673"/>
      <c r="F110" s="1140">
        <f>INDEX('Futures Prices'!$1:$1048576, MATCH('Margin Forecast'!$D110, 'Futures Prices'!$C:$C, 0), MATCH('Margin Forecast'!$F$10, 'Futures Prices'!$16:$16, 0))</f>
        <v>108.44573390014183</v>
      </c>
      <c r="J110" s="715">
        <f t="shared" ref="J110:J133" si="19">AVERAGE(INDEX($H$14:$H$49,MATCH(DATE($A$2,$B110,$B$2),$D$14:$D$49,0)),INDEX($H$14:$H$49,MATCH(DATE($A$3,$B110,$B$2),$D$14:$D$49,0)),INDEX($H$14:$H$49,MATCH(DATE($A$4,$B110,$B$2),$D$14:$D$49,0)))*F110</f>
        <v>9.1296297531195894</v>
      </c>
      <c r="K110" s="674"/>
      <c r="N110" s="715">
        <f t="shared" ref="N110:N133" si="20">AVERAGE(INDEX($L$14:$L$49,MATCH(DATE($A$2,$B110,$B$2),$D$14:$D$49,0)),INDEX($L$14:$L$49,MATCH(DATE($A$3,$B110,$B$2),$D$14:$D$49,0)),INDEX($L$14:$L$49,MATCH(DATE($A$4,$B110,$B$2),$D$14:$D$49,0)))*F110</f>
        <v>4.0114682298975755</v>
      </c>
      <c r="O110" s="674"/>
      <c r="R110" s="716">
        <f t="shared" ref="R110:R133" si="21">AVERAGE(INDEX($P$14:$P$49,MATCH(DATE($A$2,$B110,$B$2),$D$14:$D$49,0)),INDEX($P$14:$P$49,MATCH(DATE($A$3,$B110,$B$2),$D$14:$D$49,0)),INDEX($P$14:$P$49,MATCH(DATE($A$4,$B110,$B$2),$D$14:$D$49,0)))*F110</f>
        <v>25.660811862226776</v>
      </c>
      <c r="U110" s="716">
        <f t="shared" si="18"/>
        <v>8.6005226010661335</v>
      </c>
    </row>
    <row r="111" spans="1:21" outlineLevel="1">
      <c r="A111" s="711">
        <f t="shared" si="16"/>
        <v>2018</v>
      </c>
      <c r="B111" s="711">
        <f t="shared" si="17"/>
        <v>2</v>
      </c>
      <c r="D111" s="673">
        <v>43132</v>
      </c>
      <c r="E111" s="673"/>
      <c r="F111" s="1140">
        <f>INDEX('Futures Prices'!$1:$1048576, MATCH('Margin Forecast'!$D111, 'Futures Prices'!$C:$C, 0), MATCH('Margin Forecast'!$F$10, 'Futures Prices'!$16:$16, 0))</f>
        <v>108.52737399198199</v>
      </c>
      <c r="J111" s="715">
        <f t="shared" si="19"/>
        <v>4.2613255204715346</v>
      </c>
      <c r="K111" s="674"/>
      <c r="N111" s="715">
        <f t="shared" si="20"/>
        <v>3.2278904947953198</v>
      </c>
      <c r="O111" s="674"/>
      <c r="R111" s="716">
        <f t="shared" si="21"/>
        <v>27.350683650778901</v>
      </c>
      <c r="U111" s="716">
        <f t="shared" si="18"/>
        <v>9.8654410057483055</v>
      </c>
    </row>
    <row r="112" spans="1:21" outlineLevel="1">
      <c r="A112" s="711">
        <f t="shared" si="16"/>
        <v>2018</v>
      </c>
      <c r="B112" s="711">
        <f t="shared" si="17"/>
        <v>3</v>
      </c>
      <c r="D112" s="673">
        <v>43160</v>
      </c>
      <c r="E112" s="673"/>
      <c r="F112" s="1140">
        <f>INDEX('Futures Prices'!$1:$1048576, MATCH('Margin Forecast'!$D112, 'Futures Prices'!$C:$C, 0), MATCH('Margin Forecast'!$F$10, 'Futures Prices'!$16:$16, 0))</f>
        <v>63.841604249967723</v>
      </c>
      <c r="J112" s="715">
        <f t="shared" si="19"/>
        <v>0.64505498426061181</v>
      </c>
      <c r="K112" s="674"/>
      <c r="N112" s="715">
        <f t="shared" si="20"/>
        <v>1.0686706900868117</v>
      </c>
      <c r="O112" s="674"/>
      <c r="R112" s="716">
        <f t="shared" si="21"/>
        <v>14.847996113855103</v>
      </c>
      <c r="U112" s="716">
        <f t="shared" si="18"/>
        <v>7.0627185101972856</v>
      </c>
    </row>
    <row r="113" spans="1:21" outlineLevel="1">
      <c r="A113" s="711">
        <f t="shared" si="16"/>
        <v>2018</v>
      </c>
      <c r="B113" s="711">
        <f t="shared" si="17"/>
        <v>4</v>
      </c>
      <c r="D113" s="673">
        <v>43191</v>
      </c>
      <c r="E113" s="673"/>
      <c r="F113" s="1140">
        <f>INDEX('Futures Prices'!$1:$1048576, MATCH('Margin Forecast'!$D113, 'Futures Prices'!$C:$C, 0), MATCH('Margin Forecast'!$F$10, 'Futures Prices'!$16:$16, 0))</f>
        <v>47.202870705668118</v>
      </c>
      <c r="J113" s="715">
        <f t="shared" si="19"/>
        <v>0.51714577592547317</v>
      </c>
      <c r="K113" s="674"/>
      <c r="N113" s="715">
        <f t="shared" si="20"/>
        <v>1.0306318799169105</v>
      </c>
      <c r="O113" s="674"/>
      <c r="R113" s="716">
        <f t="shared" si="21"/>
        <v>9.5946502162008045</v>
      </c>
      <c r="U113" s="716">
        <f t="shared" si="18"/>
        <v>5.1671422085107377</v>
      </c>
    </row>
    <row r="114" spans="1:21" outlineLevel="1">
      <c r="A114" s="711">
        <f t="shared" si="16"/>
        <v>2018</v>
      </c>
      <c r="B114" s="711">
        <f t="shared" si="17"/>
        <v>5</v>
      </c>
      <c r="D114" s="673">
        <v>43221</v>
      </c>
      <c r="E114" s="673"/>
      <c r="F114" s="1140">
        <f>INDEX('Futures Prices'!$1:$1048576, MATCH('Margin Forecast'!$D114, 'Futures Prices'!$C:$C, 0), MATCH('Margin Forecast'!$F$10, 'Futures Prices'!$16:$16, 0))</f>
        <v>45.581925144511821</v>
      </c>
      <c r="J114" s="715">
        <f t="shared" si="19"/>
        <v>0.89915551769098667</v>
      </c>
      <c r="K114" s="674"/>
      <c r="N114" s="715">
        <f t="shared" si="20"/>
        <v>3.0357159282021899</v>
      </c>
      <c r="O114" s="674"/>
      <c r="R114" s="716">
        <f t="shared" si="21"/>
        <v>6.8940833166537221</v>
      </c>
      <c r="U114" s="716">
        <f t="shared" si="18"/>
        <v>5.1784954855477263</v>
      </c>
    </row>
    <row r="115" spans="1:21">
      <c r="A115" s="711">
        <f t="shared" si="16"/>
        <v>2018</v>
      </c>
      <c r="B115" s="711">
        <f t="shared" si="17"/>
        <v>6</v>
      </c>
      <c r="C115" s="1351" t="s">
        <v>894</v>
      </c>
      <c r="D115" s="1232">
        <v>43252</v>
      </c>
      <c r="E115" s="1232"/>
      <c r="F115" s="1233">
        <f>INDEX('Futures Prices'!$1:$1048576, MATCH('Margin Forecast'!$D115, 'Futures Prices'!$C:$C, 0), MATCH('Margin Forecast'!$F$10, 'Futures Prices'!$16:$16, 0))</f>
        <v>49.731043720614167</v>
      </c>
      <c r="G115" s="1234"/>
      <c r="H115" s="1234"/>
      <c r="J115" s="715">
        <f t="shared" si="19"/>
        <v>3.2057235332587517</v>
      </c>
      <c r="K115" s="674"/>
      <c r="L115" s="1234"/>
      <c r="N115" s="715">
        <f t="shared" si="20"/>
        <v>2.5732366707591536</v>
      </c>
      <c r="O115" s="674"/>
      <c r="P115" s="1234"/>
      <c r="R115" s="716">
        <f t="shared" si="21"/>
        <v>6.5365908289448065</v>
      </c>
      <c r="S115" s="1234"/>
      <c r="U115" s="716">
        <f t="shared" si="18"/>
        <v>5.2372743274883309</v>
      </c>
    </row>
    <row r="116" spans="1:21">
      <c r="A116" s="711">
        <f t="shared" si="16"/>
        <v>2018</v>
      </c>
      <c r="B116" s="711">
        <f t="shared" si="17"/>
        <v>7</v>
      </c>
      <c r="C116" s="1351"/>
      <c r="D116" s="1232">
        <v>43282</v>
      </c>
      <c r="E116" s="1232"/>
      <c r="F116" s="1233">
        <f>INDEX('Futures Prices'!$1:$1048576, MATCH('Margin Forecast'!$D116, 'Futures Prices'!$C:$C, 0), MATCH('Margin Forecast'!$F$10, 'Futures Prices'!$16:$16, 0))</f>
        <v>59.663481764710767</v>
      </c>
      <c r="G116" s="1234"/>
      <c r="H116" s="1234"/>
      <c r="J116" s="715">
        <f t="shared" si="19"/>
        <v>7.8076967315612302</v>
      </c>
      <c r="K116" s="674"/>
      <c r="L116" s="1234"/>
      <c r="N116" s="715">
        <f t="shared" si="20"/>
        <v>4.9798275877393161</v>
      </c>
      <c r="O116" s="674"/>
      <c r="P116" s="1234"/>
      <c r="R116" s="716">
        <f t="shared" si="21"/>
        <v>7.0390702716923155</v>
      </c>
      <c r="S116" s="1234"/>
      <c r="U116" s="716">
        <f t="shared" si="18"/>
        <v>6.7940206185953267</v>
      </c>
    </row>
    <row r="117" spans="1:21">
      <c r="A117" s="711">
        <f t="shared" si="16"/>
        <v>2018</v>
      </c>
      <c r="B117" s="711">
        <f t="shared" si="17"/>
        <v>8</v>
      </c>
      <c r="C117" s="1351"/>
      <c r="D117" s="1232">
        <v>43313</v>
      </c>
      <c r="E117" s="1232"/>
      <c r="F117" s="1233">
        <f>INDEX('Futures Prices'!$1:$1048576, MATCH('Margin Forecast'!$D117, 'Futures Prices'!$C:$C, 0), MATCH('Margin Forecast'!$F$10, 'Futures Prices'!$16:$16, 0))</f>
        <v>59.690458755375687</v>
      </c>
      <c r="G117" s="1234"/>
      <c r="H117" s="1234"/>
      <c r="J117" s="715">
        <f t="shared" si="19"/>
        <v>5.2581944885258913</v>
      </c>
      <c r="K117" s="674"/>
      <c r="L117" s="1234"/>
      <c r="N117" s="715">
        <f t="shared" si="20"/>
        <v>4.559152394313907</v>
      </c>
      <c r="O117" s="674"/>
      <c r="P117" s="1234"/>
      <c r="R117" s="716">
        <f t="shared" si="21"/>
        <v>6.6282832464981452</v>
      </c>
      <c r="S117" s="1234"/>
      <c r="U117" s="716">
        <f t="shared" si="18"/>
        <v>6.5786355424040659</v>
      </c>
    </row>
    <row r="118" spans="1:21">
      <c r="A118" s="711">
        <f t="shared" si="16"/>
        <v>2018</v>
      </c>
      <c r="B118" s="711">
        <f t="shared" si="17"/>
        <v>9</v>
      </c>
      <c r="C118" s="1351"/>
      <c r="D118" s="1232">
        <v>43344</v>
      </c>
      <c r="E118" s="1232"/>
      <c r="F118" s="1233">
        <f>INDEX('Futures Prices'!$1:$1048576, MATCH('Margin Forecast'!$D118, 'Futures Prices'!$C:$C, 0), MATCH('Margin Forecast'!$F$10, 'Futures Prices'!$16:$16, 0))</f>
        <v>45.958600990068646</v>
      </c>
      <c r="G118" s="1234"/>
      <c r="H118" s="1234"/>
      <c r="J118" s="715">
        <f t="shared" si="19"/>
        <v>1.9998474457893782</v>
      </c>
      <c r="K118" s="674"/>
      <c r="L118" s="1234"/>
      <c r="N118" s="715">
        <f t="shared" si="20"/>
        <v>1.9476345495997316</v>
      </c>
      <c r="O118" s="674"/>
      <c r="P118" s="1234"/>
      <c r="R118" s="716">
        <f t="shared" si="21"/>
        <v>7.2421432201567146</v>
      </c>
      <c r="S118" s="1234"/>
      <c r="U118" s="716">
        <f t="shared" si="18"/>
        <v>4.6362810869632787</v>
      </c>
    </row>
    <row r="119" spans="1:21">
      <c r="A119" s="711">
        <f t="shared" si="16"/>
        <v>2018</v>
      </c>
      <c r="B119" s="711">
        <f t="shared" si="17"/>
        <v>10</v>
      </c>
      <c r="C119" s="1351"/>
      <c r="D119" s="1232">
        <v>43374</v>
      </c>
      <c r="E119" s="1232"/>
      <c r="F119" s="1233">
        <f>INDEX('Futures Prices'!$1:$1048576, MATCH('Margin Forecast'!$D119, 'Futures Prices'!$C:$C, 0), MATCH('Margin Forecast'!$F$10, 'Futures Prices'!$16:$16, 0))</f>
        <v>47.705275347519333</v>
      </c>
      <c r="G119" s="1234"/>
      <c r="H119" s="1234"/>
      <c r="J119" s="715">
        <f t="shared" si="19"/>
        <v>1.0782401777608264</v>
      </c>
      <c r="K119" s="674"/>
      <c r="L119" s="1234"/>
      <c r="N119" s="715">
        <f t="shared" si="20"/>
        <v>0.98215273285027871</v>
      </c>
      <c r="O119" s="674"/>
      <c r="P119" s="1234"/>
      <c r="R119" s="716">
        <f t="shared" si="21"/>
        <v>10.946170668918402</v>
      </c>
      <c r="S119" s="1234"/>
      <c r="U119" s="716">
        <f t="shared" si="18"/>
        <v>4.6382459590052445</v>
      </c>
    </row>
    <row r="120" spans="1:21">
      <c r="A120" s="711">
        <f t="shared" si="16"/>
        <v>2018</v>
      </c>
      <c r="B120" s="711">
        <f t="shared" si="17"/>
        <v>11</v>
      </c>
      <c r="C120" s="1351"/>
      <c r="D120" s="1232">
        <v>43405</v>
      </c>
      <c r="E120" s="1232"/>
      <c r="F120" s="1233">
        <f>INDEX('Futures Prices'!$1:$1048576, MATCH('Margin Forecast'!$D120, 'Futures Prices'!$C:$C, 0), MATCH('Margin Forecast'!$F$10, 'Futures Prices'!$16:$16, 0))</f>
        <v>56.784506293189359</v>
      </c>
      <c r="G120" s="1234"/>
      <c r="H120" s="1234"/>
      <c r="J120" s="715">
        <f t="shared" si="19"/>
        <v>3.5984768542240628</v>
      </c>
      <c r="K120" s="674"/>
      <c r="L120" s="1234"/>
      <c r="N120" s="715">
        <f t="shared" si="20"/>
        <v>2.1356614519067092</v>
      </c>
      <c r="O120" s="674"/>
      <c r="P120" s="1234"/>
      <c r="R120" s="716">
        <f t="shared" si="21"/>
        <v>11.890838198534967</v>
      </c>
      <c r="S120" s="1234"/>
      <c r="U120" s="716">
        <f t="shared" si="18"/>
        <v>3.9460268483300647</v>
      </c>
    </row>
    <row r="121" spans="1:21">
      <c r="A121" s="711">
        <f t="shared" si="16"/>
        <v>2018</v>
      </c>
      <c r="B121" s="711">
        <f t="shared" si="17"/>
        <v>12</v>
      </c>
      <c r="C121" s="1351"/>
      <c r="D121" s="1232">
        <v>43435</v>
      </c>
      <c r="E121" s="1232"/>
      <c r="F121" s="1233">
        <f>INDEX('Futures Prices'!$1:$1048576, MATCH('Margin Forecast'!$D121, 'Futures Prices'!$C:$C, 0), MATCH('Margin Forecast'!$F$10, 'Futures Prices'!$16:$16, 0))</f>
        <v>87.808969061909025</v>
      </c>
      <c r="G121" s="1234"/>
      <c r="H121" s="1234"/>
      <c r="J121" s="715">
        <f t="shared" si="19"/>
        <v>6.0643330309408654</v>
      </c>
      <c r="K121" s="674"/>
      <c r="L121" s="1234"/>
      <c r="N121" s="715">
        <f t="shared" si="20"/>
        <v>2.4777093231245551</v>
      </c>
      <c r="O121" s="674"/>
      <c r="P121" s="1234"/>
      <c r="R121" s="716">
        <f t="shared" si="21"/>
        <v>21.233359672619173</v>
      </c>
      <c r="S121" s="1234"/>
      <c r="U121" s="716">
        <f t="shared" si="18"/>
        <v>5.7668256489844456</v>
      </c>
    </row>
    <row r="122" spans="1:21">
      <c r="A122" s="711">
        <f t="shared" si="16"/>
        <v>2019</v>
      </c>
      <c r="B122" s="711">
        <f t="shared" si="17"/>
        <v>1</v>
      </c>
      <c r="C122" s="1351"/>
      <c r="D122" s="1232">
        <v>43466</v>
      </c>
      <c r="E122" s="1232"/>
      <c r="F122" s="1233">
        <f>INDEX('Futures Prices'!$1:$1048576, MATCH('Margin Forecast'!$D122, 'Futures Prices'!$C:$C, 0), MATCH('Margin Forecast'!$F$10, 'Futures Prices'!$16:$16, 0))</f>
        <v>111.59231541331386</v>
      </c>
      <c r="G122" s="1234"/>
      <c r="H122" s="1234"/>
      <c r="J122" s="715">
        <f t="shared" si="19"/>
        <v>9.3945283634210668</v>
      </c>
      <c r="K122" s="674"/>
      <c r="L122" s="1234"/>
      <c r="N122" s="715">
        <f t="shared" si="20"/>
        <v>4.1278620364487439</v>
      </c>
      <c r="O122" s="674"/>
      <c r="P122" s="1234"/>
      <c r="R122" s="716">
        <f t="shared" si="21"/>
        <v>26.405367072605248</v>
      </c>
      <c r="S122" s="1234"/>
      <c r="U122" s="716">
        <f t="shared" si="18"/>
        <v>8.8500690280842029</v>
      </c>
    </row>
    <row r="123" spans="1:21">
      <c r="A123" s="711">
        <f t="shared" si="16"/>
        <v>2019</v>
      </c>
      <c r="B123" s="711">
        <f t="shared" si="17"/>
        <v>2</v>
      </c>
      <c r="C123" s="1351"/>
      <c r="D123" s="1232">
        <v>43497</v>
      </c>
      <c r="E123" s="1232"/>
      <c r="F123" s="1233">
        <f>INDEX('Futures Prices'!$1:$1048576, MATCH('Margin Forecast'!$D123, 'Futures Prices'!$C:$C, 0), MATCH('Margin Forecast'!$F$10, 'Futures Prices'!$16:$16, 0))</f>
        <v>111.74109937708464</v>
      </c>
      <c r="G123" s="1234"/>
      <c r="H123" s="1234"/>
      <c r="J123" s="715">
        <f t="shared" si="19"/>
        <v>4.3875123938435641</v>
      </c>
      <c r="K123" s="674"/>
      <c r="L123" s="1234"/>
      <c r="N123" s="715">
        <f t="shared" si="20"/>
        <v>3.3234751684300257</v>
      </c>
      <c r="O123" s="674"/>
      <c r="P123" s="1234"/>
      <c r="R123" s="716">
        <f t="shared" si="21"/>
        <v>28.160595317442041</v>
      </c>
      <c r="S123" s="1234"/>
      <c r="U123" s="716">
        <f t="shared" si="18"/>
        <v>10.157577607134682</v>
      </c>
    </row>
    <row r="124" spans="1:21">
      <c r="A124" s="711">
        <f t="shared" si="16"/>
        <v>2019</v>
      </c>
      <c r="B124" s="711">
        <f t="shared" si="17"/>
        <v>3</v>
      </c>
      <c r="C124" s="1351"/>
      <c r="D124" s="1232">
        <v>43525</v>
      </c>
      <c r="E124" s="1232"/>
      <c r="F124" s="1233">
        <f>INDEX('Futures Prices'!$1:$1048576, MATCH('Margin Forecast'!$D124, 'Futures Prices'!$C:$C, 0), MATCH('Margin Forecast'!$F$10, 'Futures Prices'!$16:$16, 0))</f>
        <v>66.136616824295217</v>
      </c>
      <c r="G124" s="1234"/>
      <c r="H124" s="1234"/>
      <c r="J124" s="715">
        <f t="shared" si="19"/>
        <v>0.66824377027880588</v>
      </c>
      <c r="K124" s="674"/>
      <c r="L124" s="1234"/>
      <c r="N124" s="715">
        <f t="shared" si="20"/>
        <v>1.1070878429823032</v>
      </c>
      <c r="O124" s="674"/>
      <c r="P124" s="1234"/>
      <c r="R124" s="716">
        <f t="shared" si="21"/>
        <v>15.381759921723081</v>
      </c>
      <c r="S124" s="1234"/>
      <c r="U124" s="716">
        <f t="shared" si="18"/>
        <v>7.3166129412703658</v>
      </c>
    </row>
    <row r="125" spans="1:21">
      <c r="A125" s="711">
        <f t="shared" si="16"/>
        <v>2019</v>
      </c>
      <c r="B125" s="711">
        <f t="shared" si="17"/>
        <v>4</v>
      </c>
      <c r="C125" s="1351"/>
      <c r="D125" s="1232">
        <v>43556</v>
      </c>
      <c r="E125" s="1232"/>
      <c r="F125" s="1233">
        <f>INDEX('Futures Prices'!$1:$1048576, MATCH('Margin Forecast'!$D125, 'Futures Prices'!$C:$C, 0), MATCH('Margin Forecast'!$F$10, 'Futures Prices'!$16:$16, 0))</f>
        <v>49.396572629878975</v>
      </c>
      <c r="G125" s="1234"/>
      <c r="H125" s="1234"/>
      <c r="J125" s="715">
        <f t="shared" si="19"/>
        <v>0.54117956172674653</v>
      </c>
      <c r="K125" s="674"/>
      <c r="L125" s="1234"/>
      <c r="N125" s="715">
        <f t="shared" si="20"/>
        <v>1.0785293722585212</v>
      </c>
      <c r="O125" s="674"/>
      <c r="P125" s="1234"/>
      <c r="R125" s="716">
        <f t="shared" si="21"/>
        <v>10.040551118555932</v>
      </c>
      <c r="S125" s="1234"/>
      <c r="U125" s="716">
        <f t="shared" si="18"/>
        <v>5.4072795060103154</v>
      </c>
    </row>
    <row r="126" spans="1:21">
      <c r="A126" s="711">
        <f t="shared" si="16"/>
        <v>2019</v>
      </c>
      <c r="B126" s="711">
        <f t="shared" si="17"/>
        <v>5</v>
      </c>
      <c r="C126" s="1351"/>
      <c r="D126" s="1232">
        <v>43586</v>
      </c>
      <c r="E126" s="1232"/>
      <c r="F126" s="1233">
        <f>INDEX('Futures Prices'!$1:$1048576, MATCH('Margin Forecast'!$D126, 'Futures Prices'!$C:$C, 0), MATCH('Margin Forecast'!$F$10, 'Futures Prices'!$16:$16, 0))</f>
        <v>47.882344975620761</v>
      </c>
      <c r="G126" s="1234"/>
      <c r="H126" s="1234"/>
      <c r="J126" s="715">
        <f t="shared" si="19"/>
        <v>0.94453392541706793</v>
      </c>
      <c r="K126" s="674"/>
      <c r="L126" s="1234"/>
      <c r="N126" s="715">
        <f t="shared" si="20"/>
        <v>3.1889218557866337</v>
      </c>
      <c r="O126" s="674"/>
      <c r="P126" s="1234"/>
      <c r="R126" s="716">
        <f t="shared" si="21"/>
        <v>7.2420125874922752</v>
      </c>
      <c r="S126" s="1234"/>
      <c r="U126" s="716">
        <f t="shared" si="18"/>
        <v>5.4398427996967964</v>
      </c>
    </row>
    <row r="127" spans="1:21">
      <c r="A127" s="711">
        <f t="shared" ref="A127:A150" si="22">YEAR(D127)</f>
        <v>2019</v>
      </c>
      <c r="B127" s="711">
        <f t="shared" ref="B127:B150" si="23">MONTH(D127)</f>
        <v>6</v>
      </c>
      <c r="C127" s="1351" t="s">
        <v>895</v>
      </c>
      <c r="D127" s="1232">
        <v>43617</v>
      </c>
      <c r="E127" s="1232"/>
      <c r="F127" s="1233">
        <f>INDEX('Futures Prices'!$1:$1048576, MATCH('Margin Forecast'!$D127, 'Futures Prices'!$C:$C, 0), MATCH('Margin Forecast'!$F$10, 'Futures Prices'!$16:$16, 0))</f>
        <v>2.953939572749039</v>
      </c>
      <c r="G127" s="1234"/>
      <c r="H127" s="1234"/>
      <c r="J127" s="715">
        <f t="shared" si="19"/>
        <v>0.19041453578543455</v>
      </c>
      <c r="K127" s="674"/>
      <c r="L127" s="1234"/>
      <c r="N127" s="715">
        <f t="shared" si="20"/>
        <v>0.15284588987328376</v>
      </c>
      <c r="O127" s="674"/>
      <c r="P127" s="1234"/>
      <c r="R127" s="716">
        <f t="shared" si="21"/>
        <v>0.38826239861289702</v>
      </c>
      <c r="S127" s="1234"/>
      <c r="U127" s="716">
        <f t="shared" ref="U127:U150" si="24">AVERAGE(INDEX($S$14:$S$49,MATCH(DATE($A$2,$B127,$B$2),$D$14:$D$49,0)),INDEX($S$14:$S$49,MATCH(DATE($A$3,$B127,$B$2),$D$14:$D$49,0)),INDEX($S$14:$S$49,MATCH(DATE($A$4,$B127,$B$2),$D$14:$D$49,0)))*F127</f>
        <v>0.31108520416790747</v>
      </c>
    </row>
    <row r="128" spans="1:21">
      <c r="A128" s="711">
        <f t="shared" si="22"/>
        <v>2019</v>
      </c>
      <c r="B128" s="711">
        <f t="shared" si="23"/>
        <v>7</v>
      </c>
      <c r="C128" s="1351"/>
      <c r="D128" s="1232">
        <v>43647</v>
      </c>
      <c r="E128" s="1232"/>
      <c r="F128" s="1233">
        <f>INDEX('Futures Prices'!$1:$1048576, MATCH('Margin Forecast'!$D128, 'Futures Prices'!$C:$C, 0), MATCH('Margin Forecast'!$F$10, 'Futures Prices'!$16:$16, 0))</f>
        <v>3.6919400781449752</v>
      </c>
      <c r="G128" s="1234"/>
      <c r="H128" s="1234"/>
      <c r="J128" s="715">
        <f t="shared" si="19"/>
        <v>0.48313554000970016</v>
      </c>
      <c r="K128" s="674"/>
      <c r="L128" s="1234"/>
      <c r="N128" s="715">
        <f t="shared" si="20"/>
        <v>0.30814871190271576</v>
      </c>
      <c r="O128" s="674"/>
      <c r="P128" s="1234"/>
      <c r="R128" s="716">
        <f t="shared" si="21"/>
        <v>0.43557340068461697</v>
      </c>
      <c r="S128" s="1234"/>
      <c r="U128" s="716">
        <f t="shared" si="24"/>
        <v>0.42040987672247021</v>
      </c>
    </row>
    <row r="129" spans="1:21">
      <c r="A129" s="711">
        <f t="shared" si="22"/>
        <v>2019</v>
      </c>
      <c r="B129" s="711">
        <f t="shared" si="23"/>
        <v>8</v>
      </c>
      <c r="C129" s="1351"/>
      <c r="D129" s="1232">
        <v>43678</v>
      </c>
      <c r="E129" s="1232"/>
      <c r="F129" s="1233">
        <f>INDEX('Futures Prices'!$1:$1048576, MATCH('Margin Forecast'!$D129, 'Futures Prices'!$C:$C, 0), MATCH('Margin Forecast'!$F$10, 'Futures Prices'!$16:$16, 0))</f>
        <v>3.6778855834387367</v>
      </c>
      <c r="G129" s="1234"/>
      <c r="H129" s="1234"/>
      <c r="J129" s="715">
        <f t="shared" si="19"/>
        <v>0.32398875980367192</v>
      </c>
      <c r="K129" s="674"/>
      <c r="L129" s="1234"/>
      <c r="N129" s="715">
        <f t="shared" si="20"/>
        <v>0.28091660230768783</v>
      </c>
      <c r="O129" s="674"/>
      <c r="P129" s="1234"/>
      <c r="R129" s="716">
        <f t="shared" si="21"/>
        <v>0.40840810916114056</v>
      </c>
      <c r="S129" s="1234"/>
      <c r="U129" s="716">
        <f t="shared" si="24"/>
        <v>0.40534901765898318</v>
      </c>
    </row>
    <row r="130" spans="1:21">
      <c r="A130" s="711">
        <f t="shared" si="22"/>
        <v>2019</v>
      </c>
      <c r="B130" s="711">
        <f t="shared" si="23"/>
        <v>9</v>
      </c>
      <c r="C130" s="1351"/>
      <c r="D130" s="1232">
        <v>43709</v>
      </c>
      <c r="E130" s="1232"/>
      <c r="F130" s="1233">
        <f>INDEX('Futures Prices'!$1:$1048576, MATCH('Margin Forecast'!$D130, 'Futures Prices'!$C:$C, 0), MATCH('Margin Forecast'!$F$10, 'Futures Prices'!$16:$16, 0))</f>
        <v>-1.6744598251942435</v>
      </c>
      <c r="G130" s="1234"/>
      <c r="H130" s="1234"/>
      <c r="J130" s="715">
        <f t="shared" si="19"/>
        <v>-7.2862622715936479E-2</v>
      </c>
      <c r="K130" s="674"/>
      <c r="L130" s="1234"/>
      <c r="N130" s="715">
        <f t="shared" si="20"/>
        <v>-7.0960293333771574E-2</v>
      </c>
      <c r="O130" s="674"/>
      <c r="P130" s="1234"/>
      <c r="R130" s="716">
        <f t="shared" si="21"/>
        <v>-0.26386090109826854</v>
      </c>
      <c r="S130" s="1234"/>
      <c r="U130" s="716">
        <f t="shared" si="24"/>
        <v>-0.16891868445050146</v>
      </c>
    </row>
    <row r="131" spans="1:21">
      <c r="A131" s="711">
        <f t="shared" si="22"/>
        <v>2019</v>
      </c>
      <c r="B131" s="711">
        <f t="shared" si="23"/>
        <v>10</v>
      </c>
      <c r="C131" s="1351"/>
      <c r="D131" s="1232">
        <v>43739</v>
      </c>
      <c r="E131" s="1232"/>
      <c r="F131" s="1233">
        <f>INDEX('Futures Prices'!$1:$1048576, MATCH('Margin Forecast'!$D131, 'Futures Prices'!$C:$C, 0), MATCH('Margin Forecast'!$F$10, 'Futures Prices'!$16:$16, 0))</f>
        <v>0.78337689649043107</v>
      </c>
      <c r="G131" s="1234"/>
      <c r="H131" s="1234"/>
      <c r="J131" s="715">
        <f t="shared" si="19"/>
        <v>1.7705975659345806E-2</v>
      </c>
      <c r="K131" s="674"/>
      <c r="L131" s="1234"/>
      <c r="N131" s="715">
        <f t="shared" si="20"/>
        <v>1.6128106464851487E-2</v>
      </c>
      <c r="O131" s="674"/>
      <c r="P131" s="1234"/>
      <c r="R131" s="716">
        <f t="shared" si="21"/>
        <v>0.1797490349779059</v>
      </c>
      <c r="S131" s="1234"/>
      <c r="U131" s="716">
        <f t="shared" si="24"/>
        <v>7.616547012999797E-2</v>
      </c>
    </row>
    <row r="132" spans="1:21">
      <c r="A132" s="711">
        <f t="shared" si="22"/>
        <v>2019</v>
      </c>
      <c r="B132" s="711">
        <f t="shared" si="23"/>
        <v>11</v>
      </c>
      <c r="C132" s="1351"/>
      <c r="D132" s="1232">
        <v>43770</v>
      </c>
      <c r="E132" s="1232"/>
      <c r="F132" s="1233">
        <f>INDEX('Futures Prices'!$1:$1048576, MATCH('Margin Forecast'!$D132, 'Futures Prices'!$C:$C, 0), MATCH('Margin Forecast'!$F$10, 'Futures Prices'!$16:$16, 0))</f>
        <v>12.589082303342813</v>
      </c>
      <c r="G132" s="1234"/>
      <c r="H132" s="1234"/>
      <c r="J132" s="715">
        <f t="shared" si="19"/>
        <v>0.79777960999784647</v>
      </c>
      <c r="K132" s="674"/>
      <c r="L132" s="1234"/>
      <c r="N132" s="715">
        <f t="shared" si="20"/>
        <v>0.47347453636934833</v>
      </c>
      <c r="O132" s="674"/>
      <c r="P132" s="1234"/>
      <c r="R132" s="716">
        <f t="shared" si="21"/>
        <v>2.6361898783479152</v>
      </c>
      <c r="S132" s="1234"/>
      <c r="U132" s="716">
        <f t="shared" si="24"/>
        <v>0.874831182089291</v>
      </c>
    </row>
    <row r="133" spans="1:21">
      <c r="A133" s="711">
        <f t="shared" si="22"/>
        <v>2019</v>
      </c>
      <c r="B133" s="711">
        <f t="shared" si="23"/>
        <v>12</v>
      </c>
      <c r="C133" s="1351"/>
      <c r="D133" s="1232">
        <v>43800</v>
      </c>
      <c r="E133" s="1232"/>
      <c r="F133" s="1233">
        <f>INDEX('Futures Prices'!$1:$1048576, MATCH('Margin Forecast'!$D133, 'Futures Prices'!$C:$C, 0), MATCH('Margin Forecast'!$F$10, 'Futures Prices'!$16:$16, 0))</f>
        <v>46.490609394900609</v>
      </c>
      <c r="G133" s="1234"/>
      <c r="H133" s="1234"/>
      <c r="J133" s="715">
        <f t="shared" si="19"/>
        <v>3.2107715327267963</v>
      </c>
      <c r="K133" s="674"/>
      <c r="L133" s="1234"/>
      <c r="N133" s="715">
        <f t="shared" si="20"/>
        <v>1.3118274541439303</v>
      </c>
      <c r="O133" s="674"/>
      <c r="P133" s="1234"/>
      <c r="R133" s="716">
        <f t="shared" si="21"/>
        <v>11.242038725966468</v>
      </c>
      <c r="S133" s="1234"/>
      <c r="U133" s="716">
        <f t="shared" si="24"/>
        <v>3.053255738675237</v>
      </c>
    </row>
    <row r="134" spans="1:21">
      <c r="A134" s="711">
        <f t="shared" si="22"/>
        <v>2020</v>
      </c>
      <c r="B134" s="711">
        <f t="shared" si="23"/>
        <v>1</v>
      </c>
      <c r="C134" s="1351"/>
      <c r="D134" s="1232">
        <v>43831</v>
      </c>
      <c r="E134" s="1232"/>
      <c r="F134" s="1233">
        <f>INDEX('Futures Prices'!$1:$1048576, MATCH('Margin Forecast'!$D134, 'Futures Prices'!$C:$C, 0), MATCH('Margin Forecast'!$F$10, 'Futures Prices'!$16:$16, 0))</f>
        <v>73.718846354978552</v>
      </c>
      <c r="G134" s="1234"/>
      <c r="H134" s="1234"/>
      <c r="J134" s="715">
        <f t="shared" ref="J134:J150" si="25">AVERAGE(INDEX($H$14:$H$49,MATCH(DATE($A$2,$B134,$B$2),$D$14:$D$49,0)),INDEX($H$14:$H$49,MATCH(DATE($A$3,$B134,$B$2),$D$14:$D$49,0)),INDEX($H$14:$H$49,MATCH(DATE($A$4,$B134,$B$2),$D$14:$D$49,0)))*F134</f>
        <v>6.2061064907153858</v>
      </c>
      <c r="K134" s="674"/>
      <c r="L134" s="1234"/>
      <c r="N134" s="715">
        <f t="shared" ref="N134:N150" si="26">AVERAGE(INDEX($L$14:$L$49,MATCH(DATE($A$2,$B134,$B$2),$D$14:$D$49,0)),INDEX($L$14:$L$49,MATCH(DATE($A$3,$B134,$B$2),$D$14:$D$49,0)),INDEX($L$14:$L$49,MATCH(DATE($A$4,$B134,$B$2),$D$14:$D$49,0)))*F134</f>
        <v>2.7269012755264352</v>
      </c>
      <c r="O134" s="674"/>
      <c r="P134" s="1234"/>
      <c r="R134" s="716">
        <f t="shared" ref="R134:R150" si="27">AVERAGE(INDEX($P$14:$P$49,MATCH(DATE($A$2,$B134,$B$2),$D$14:$D$49,0)),INDEX($P$14:$P$49,MATCH(DATE($A$3,$B134,$B$2),$D$14:$D$49,0)),INDEX($P$14:$P$49,MATCH(DATE($A$4,$B134,$B$2),$D$14:$D$49,0)))*F134</f>
        <v>17.443613307623462</v>
      </c>
      <c r="S134" s="1234"/>
      <c r="U134" s="716">
        <f t="shared" si="24"/>
        <v>5.8464319563213865</v>
      </c>
    </row>
    <row r="135" spans="1:21">
      <c r="A135" s="711">
        <f t="shared" si="22"/>
        <v>2020</v>
      </c>
      <c r="B135" s="711">
        <f t="shared" si="23"/>
        <v>2</v>
      </c>
      <c r="C135" s="1351"/>
      <c r="D135" s="1232">
        <v>43862</v>
      </c>
      <c r="E135" s="1232"/>
      <c r="F135" s="1233">
        <f>INDEX('Futures Prices'!$1:$1048576, MATCH('Margin Forecast'!$D135, 'Futures Prices'!$C:$C, 0), MATCH('Margin Forecast'!$F$10, 'Futures Prices'!$16:$16, 0))</f>
        <v>70.564036172775957</v>
      </c>
      <c r="G135" s="1234"/>
      <c r="H135" s="1234"/>
      <c r="J135" s="715">
        <f t="shared" si="25"/>
        <v>2.7706956974075698</v>
      </c>
      <c r="K135" s="674"/>
      <c r="L135" s="1234"/>
      <c r="N135" s="715">
        <f t="shared" si="26"/>
        <v>2.0987606468145494</v>
      </c>
      <c r="O135" s="674"/>
      <c r="P135" s="1234"/>
      <c r="R135" s="716">
        <f t="shared" si="27"/>
        <v>17.783297978133156</v>
      </c>
      <c r="S135" s="1234"/>
      <c r="U135" s="716">
        <f t="shared" si="24"/>
        <v>6.4144677087777122</v>
      </c>
    </row>
    <row r="136" spans="1:21">
      <c r="A136" s="711">
        <f t="shared" si="22"/>
        <v>2020</v>
      </c>
      <c r="B136" s="711">
        <f t="shared" si="23"/>
        <v>3</v>
      </c>
      <c r="C136" s="1351"/>
      <c r="D136" s="1232">
        <v>43891</v>
      </c>
      <c r="E136" s="1232"/>
      <c r="F136" s="1233">
        <f>INDEX('Futures Prices'!$1:$1048576, MATCH('Margin Forecast'!$D136, 'Futures Prices'!$C:$C, 0), MATCH('Margin Forecast'!$F$10, 'Futures Prices'!$16:$16, 0))</f>
        <v>20.610745492460762</v>
      </c>
      <c r="G136" s="1234"/>
      <c r="H136" s="1234"/>
      <c r="J136" s="715">
        <f t="shared" si="25"/>
        <v>0.20825078356713561</v>
      </c>
      <c r="K136" s="674"/>
      <c r="L136" s="1234"/>
      <c r="N136" s="715">
        <f t="shared" si="26"/>
        <v>0.34501168740042776</v>
      </c>
      <c r="O136" s="674"/>
      <c r="P136" s="1234"/>
      <c r="R136" s="716">
        <f t="shared" si="27"/>
        <v>4.7935554341253681</v>
      </c>
      <c r="S136" s="1234"/>
      <c r="U136" s="716">
        <f t="shared" si="24"/>
        <v>2.280141537932006</v>
      </c>
    </row>
    <row r="137" spans="1:21">
      <c r="A137" s="711">
        <f t="shared" si="22"/>
        <v>2020</v>
      </c>
      <c r="B137" s="711">
        <f t="shared" si="23"/>
        <v>4</v>
      </c>
      <c r="C137" s="1351"/>
      <c r="D137" s="1232">
        <v>43922</v>
      </c>
      <c r="E137" s="1232"/>
      <c r="F137" s="1233">
        <f>INDEX('Futures Prices'!$1:$1048576, MATCH('Margin Forecast'!$D137, 'Futures Prices'!$C:$C, 0), MATCH('Margin Forecast'!$F$10, 'Futures Prices'!$16:$16, 0))</f>
        <v>3.2214877807179194</v>
      </c>
      <c r="G137" s="1234"/>
      <c r="H137" s="1234"/>
      <c r="J137" s="715">
        <f t="shared" si="25"/>
        <v>3.5294014391242273E-2</v>
      </c>
      <c r="K137" s="674"/>
      <c r="L137" s="1234"/>
      <c r="N137" s="715">
        <f t="shared" si="26"/>
        <v>7.0338264557540553E-2</v>
      </c>
      <c r="O137" s="674"/>
      <c r="P137" s="1234"/>
      <c r="R137" s="716">
        <f t="shared" si="27"/>
        <v>0.654812895268293</v>
      </c>
      <c r="S137" s="1234"/>
      <c r="U137" s="716">
        <f t="shared" si="24"/>
        <v>0.35264561746136147</v>
      </c>
    </row>
    <row r="138" spans="1:21">
      <c r="A138" s="711">
        <f t="shared" si="22"/>
        <v>2020</v>
      </c>
      <c r="B138" s="711">
        <f t="shared" si="23"/>
        <v>5</v>
      </c>
      <c r="C138" s="1351"/>
      <c r="D138" s="1232">
        <v>43952</v>
      </c>
      <c r="E138" s="1232"/>
      <c r="F138" s="1233">
        <f>INDEX('Futures Prices'!$1:$1048576, MATCH('Margin Forecast'!$D138, 'Futures Prices'!$C:$C, 0), MATCH('Margin Forecast'!$F$10, 'Futures Prices'!$16:$16, 0))</f>
        <v>-2.3847992996661431</v>
      </c>
      <c r="G138" s="1234"/>
      <c r="H138" s="1234"/>
      <c r="J138" s="715">
        <f t="shared" si="25"/>
        <v>-4.7042889085578549E-2</v>
      </c>
      <c r="K138" s="674"/>
      <c r="L138" s="1234"/>
      <c r="N138" s="715">
        <f t="shared" si="26"/>
        <v>-0.15882552561371141</v>
      </c>
      <c r="O138" s="674"/>
      <c r="P138" s="1234"/>
      <c r="R138" s="716">
        <f t="shared" si="27"/>
        <v>-0.36069132695189327</v>
      </c>
      <c r="S138" s="1234"/>
      <c r="U138" s="716">
        <f t="shared" si="24"/>
        <v>-0.27093354148832904</v>
      </c>
    </row>
    <row r="139" spans="1:21">
      <c r="A139" s="711">
        <f t="shared" si="22"/>
        <v>2020</v>
      </c>
      <c r="B139" s="711">
        <f t="shared" si="23"/>
        <v>6</v>
      </c>
      <c r="C139" s="1351" t="s">
        <v>896</v>
      </c>
      <c r="D139" s="1232">
        <v>43983</v>
      </c>
      <c r="E139" s="1232"/>
      <c r="F139" s="1233">
        <f>INDEX('Futures Prices'!$1:$1048576, MATCH('Margin Forecast'!$D139, 'Futures Prices'!$C:$C, 0), MATCH('Margin Forecast'!$F$10, 'Futures Prices'!$16:$16, 0))</f>
        <v>3.0204032131358924</v>
      </c>
      <c r="G139" s="1234"/>
      <c r="H139" s="1234"/>
      <c r="J139" s="715">
        <f t="shared" si="25"/>
        <v>0.19469886284060683</v>
      </c>
      <c r="K139" s="674"/>
      <c r="L139" s="1234"/>
      <c r="N139" s="715">
        <f t="shared" si="26"/>
        <v>0.15628492239543265</v>
      </c>
      <c r="O139" s="674"/>
      <c r="P139" s="1234"/>
      <c r="R139" s="716">
        <f t="shared" si="27"/>
        <v>0.39699830258168722</v>
      </c>
      <c r="S139" s="1234"/>
      <c r="U139" s="716">
        <f t="shared" si="24"/>
        <v>0.31808462126168541</v>
      </c>
    </row>
    <row r="140" spans="1:21">
      <c r="A140" s="711">
        <f t="shared" si="22"/>
        <v>2020</v>
      </c>
      <c r="B140" s="711">
        <f t="shared" si="23"/>
        <v>7</v>
      </c>
      <c r="C140" s="1351"/>
      <c r="D140" s="1232">
        <v>44013</v>
      </c>
      <c r="E140" s="1232"/>
      <c r="F140" s="1233">
        <f>INDEX('Futures Prices'!$1:$1048576, MATCH('Margin Forecast'!$D140, 'Futures Prices'!$C:$C, 0), MATCH('Margin Forecast'!$F$10, 'Futures Prices'!$16:$16, 0))</f>
        <v>3.7750087299032371</v>
      </c>
      <c r="G140" s="1234"/>
      <c r="H140" s="1234"/>
      <c r="J140" s="715">
        <f t="shared" si="25"/>
        <v>0.49400608965991843</v>
      </c>
      <c r="K140" s="674"/>
      <c r="L140" s="1234"/>
      <c r="N140" s="715">
        <f t="shared" si="26"/>
        <v>0.3150820579205269</v>
      </c>
      <c r="O140" s="674"/>
      <c r="P140" s="1234"/>
      <c r="R140" s="716">
        <f t="shared" si="27"/>
        <v>0.44537380220002082</v>
      </c>
      <c r="S140" s="1234"/>
      <c r="U140" s="716">
        <f t="shared" si="24"/>
        <v>0.42986909894872577</v>
      </c>
    </row>
    <row r="141" spans="1:21">
      <c r="A141" s="711">
        <f t="shared" si="22"/>
        <v>2020</v>
      </c>
      <c r="B141" s="711">
        <f t="shared" si="23"/>
        <v>8</v>
      </c>
      <c r="C141" s="1351"/>
      <c r="D141" s="1232">
        <v>44044</v>
      </c>
      <c r="E141" s="1232"/>
      <c r="F141" s="1233">
        <f>INDEX('Futures Prices'!$1:$1048576, MATCH('Margin Forecast'!$D141, 'Futures Prices'!$C:$C, 0), MATCH('Margin Forecast'!$F$10, 'Futures Prices'!$16:$16, 0))</f>
        <v>3.760638009066108</v>
      </c>
      <c r="G141" s="1234"/>
      <c r="H141" s="1234"/>
      <c r="J141" s="715">
        <f t="shared" si="25"/>
        <v>0.33127850689925448</v>
      </c>
      <c r="K141" s="674"/>
      <c r="L141" s="1234"/>
      <c r="N141" s="715">
        <f t="shared" si="26"/>
        <v>0.28723722585961081</v>
      </c>
      <c r="O141" s="674"/>
      <c r="P141" s="1234"/>
      <c r="R141" s="716">
        <f t="shared" si="27"/>
        <v>0.41759729161726622</v>
      </c>
      <c r="S141" s="1234"/>
      <c r="U141" s="716">
        <f t="shared" si="24"/>
        <v>0.41446937055631028</v>
      </c>
    </row>
    <row r="142" spans="1:21">
      <c r="A142" s="711">
        <f t="shared" si="22"/>
        <v>2020</v>
      </c>
      <c r="B142" s="711">
        <f t="shared" si="23"/>
        <v>9</v>
      </c>
      <c r="C142" s="1351"/>
      <c r="D142" s="1232">
        <v>44075</v>
      </c>
      <c r="E142" s="1232"/>
      <c r="F142" s="1233">
        <f>INDEX('Futures Prices'!$1:$1048576, MATCH('Margin Forecast'!$D142, 'Futures Prices'!$C:$C, 0), MATCH('Margin Forecast'!$F$10, 'Futures Prices'!$16:$16, 0))</f>
        <v>-1.7121351712611139</v>
      </c>
      <c r="G142" s="1234"/>
      <c r="H142" s="1234"/>
      <c r="J142" s="715">
        <f t="shared" si="25"/>
        <v>-7.4502031727045046E-2</v>
      </c>
      <c r="K142" s="674"/>
      <c r="L142" s="1234"/>
      <c r="N142" s="715">
        <f t="shared" si="26"/>
        <v>-7.2556899933781421E-2</v>
      </c>
      <c r="O142" s="674"/>
      <c r="P142" s="1234"/>
      <c r="R142" s="716">
        <f t="shared" si="27"/>
        <v>-0.26979777137297956</v>
      </c>
      <c r="S142" s="1234"/>
      <c r="U142" s="716">
        <f t="shared" si="24"/>
        <v>-0.17271935485063772</v>
      </c>
    </row>
    <row r="143" spans="1:21">
      <c r="A143" s="711">
        <f t="shared" si="22"/>
        <v>2020</v>
      </c>
      <c r="B143" s="711">
        <f t="shared" si="23"/>
        <v>10</v>
      </c>
      <c r="C143" s="1351"/>
      <c r="D143" s="1232">
        <v>44105</v>
      </c>
      <c r="E143" s="1232"/>
      <c r="F143" s="1233">
        <f>INDEX('Futures Prices'!$1:$1048576, MATCH('Margin Forecast'!$D143, 'Futures Prices'!$C:$C, 0), MATCH('Margin Forecast'!$F$10, 'Futures Prices'!$16:$16, 0))</f>
        <v>0.80100287666146586</v>
      </c>
      <c r="G143" s="1234"/>
      <c r="H143" s="1234"/>
      <c r="J143" s="715">
        <f t="shared" si="25"/>
        <v>1.8104360111681088E-2</v>
      </c>
      <c r="K143" s="674"/>
      <c r="L143" s="1234"/>
      <c r="N143" s="715">
        <f t="shared" si="26"/>
        <v>1.6490988860310647E-2</v>
      </c>
      <c r="O143" s="674"/>
      <c r="P143" s="1234"/>
      <c r="R143" s="716">
        <f t="shared" si="27"/>
        <v>0.18379338826490879</v>
      </c>
      <c r="S143" s="1234"/>
      <c r="U143" s="716">
        <f t="shared" si="24"/>
        <v>7.7879193207922928E-2</v>
      </c>
    </row>
    <row r="144" spans="1:21">
      <c r="A144" s="711">
        <f t="shared" si="22"/>
        <v>2020</v>
      </c>
      <c r="B144" s="711">
        <f t="shared" si="23"/>
        <v>11</v>
      </c>
      <c r="C144" s="1351"/>
      <c r="D144" s="1232">
        <v>44136</v>
      </c>
      <c r="E144" s="1232"/>
      <c r="F144" s="1233">
        <f>INDEX('Futures Prices'!$1:$1048576, MATCH('Margin Forecast'!$D144, 'Futures Prices'!$C:$C, 0), MATCH('Margin Forecast'!$F$10, 'Futures Prices'!$16:$16, 0))</f>
        <v>12.872336655168027</v>
      </c>
      <c r="G144" s="1234"/>
      <c r="H144" s="1234"/>
      <c r="J144" s="715">
        <f t="shared" si="25"/>
        <v>0.81572965122279806</v>
      </c>
      <c r="K144" s="674"/>
      <c r="L144" s="1234"/>
      <c r="N144" s="715">
        <f t="shared" si="26"/>
        <v>0.4841277134376587</v>
      </c>
      <c r="O144" s="674"/>
      <c r="P144" s="1234"/>
      <c r="R144" s="716">
        <f t="shared" si="27"/>
        <v>2.6955041506107436</v>
      </c>
      <c r="S144" s="1234"/>
      <c r="U144" s="716">
        <f t="shared" si="24"/>
        <v>0.89451488368630006</v>
      </c>
    </row>
    <row r="145" spans="1:21">
      <c r="A145" s="711">
        <f t="shared" si="22"/>
        <v>2020</v>
      </c>
      <c r="B145" s="711">
        <f t="shared" si="23"/>
        <v>12</v>
      </c>
      <c r="C145" s="1351"/>
      <c r="D145" s="1232">
        <v>44166</v>
      </c>
      <c r="E145" s="1232"/>
      <c r="F145" s="1233">
        <f>INDEX('Futures Prices'!$1:$1048576, MATCH('Margin Forecast'!$D145, 'Futures Prices'!$C:$C, 0), MATCH('Margin Forecast'!$F$10, 'Futures Prices'!$16:$16, 0))</f>
        <v>47.536648106285874</v>
      </c>
      <c r="G145" s="1234"/>
      <c r="H145" s="1234"/>
      <c r="J145" s="715">
        <f t="shared" si="25"/>
        <v>3.2830138922131495</v>
      </c>
      <c r="K145" s="674"/>
      <c r="L145" s="1234"/>
      <c r="N145" s="715">
        <f t="shared" si="26"/>
        <v>1.3413435718621689</v>
      </c>
      <c r="O145" s="674"/>
      <c r="P145" s="1234"/>
      <c r="R145" s="716">
        <f t="shared" si="27"/>
        <v>11.494984597300714</v>
      </c>
      <c r="S145" s="1234"/>
      <c r="U145" s="716">
        <f t="shared" si="24"/>
        <v>3.1219539927954298</v>
      </c>
    </row>
    <row r="146" spans="1:21">
      <c r="A146" s="711">
        <f t="shared" si="22"/>
        <v>2021</v>
      </c>
      <c r="B146" s="711">
        <f t="shared" si="23"/>
        <v>1</v>
      </c>
      <c r="C146" s="1351"/>
      <c r="D146" s="1232">
        <v>44197</v>
      </c>
      <c r="E146" s="1232"/>
      <c r="F146" s="1233">
        <f>INDEX('Futures Prices'!$1:$1048576, MATCH('Margin Forecast'!$D146, 'Futures Prices'!$C:$C, 0), MATCH('Margin Forecast'!$F$10, 'Futures Prices'!$16:$16, 0))</f>
        <v>75.377520397965583</v>
      </c>
      <c r="G146" s="1234"/>
      <c r="H146" s="1234"/>
      <c r="J146" s="715">
        <f t="shared" si="25"/>
        <v>6.345743886756483</v>
      </c>
      <c r="K146" s="674"/>
      <c r="L146" s="1234"/>
      <c r="N146" s="715">
        <f t="shared" si="26"/>
        <v>2.7882565542257804</v>
      </c>
      <c r="O146" s="674"/>
      <c r="P146" s="1234"/>
      <c r="R146" s="716">
        <f t="shared" si="27"/>
        <v>17.836094607044991</v>
      </c>
      <c r="S146" s="1234"/>
      <c r="U146" s="716">
        <f t="shared" si="24"/>
        <v>5.9779766753386188</v>
      </c>
    </row>
    <row r="147" spans="1:21">
      <c r="A147" s="711">
        <f t="shared" si="22"/>
        <v>2021</v>
      </c>
      <c r="B147" s="711">
        <f t="shared" si="23"/>
        <v>2</v>
      </c>
      <c r="C147" s="1351"/>
      <c r="D147" s="1232">
        <v>44228</v>
      </c>
      <c r="E147" s="1232"/>
      <c r="F147" s="1233">
        <f>INDEX('Futures Prices'!$1:$1048576, MATCH('Margin Forecast'!$D147, 'Futures Prices'!$C:$C, 0), MATCH('Margin Forecast'!$F$10, 'Futures Prices'!$16:$16, 0))</f>
        <v>72.151726986663434</v>
      </c>
      <c r="G147" s="1234"/>
      <c r="H147" s="1234"/>
      <c r="J147" s="715">
        <f t="shared" si="25"/>
        <v>2.8330363505992411</v>
      </c>
      <c r="K147" s="674"/>
      <c r="L147" s="1234"/>
      <c r="N147" s="715">
        <f t="shared" si="26"/>
        <v>2.1459827613678772</v>
      </c>
      <c r="O147" s="674"/>
      <c r="P147" s="1234"/>
      <c r="R147" s="716">
        <f t="shared" si="27"/>
        <v>18.183422182641159</v>
      </c>
      <c r="S147" s="1234"/>
      <c r="U147" s="716">
        <f t="shared" si="24"/>
        <v>6.5587932322252129</v>
      </c>
    </row>
    <row r="148" spans="1:21">
      <c r="A148" s="711">
        <f t="shared" si="22"/>
        <v>2021</v>
      </c>
      <c r="B148" s="711">
        <f t="shared" si="23"/>
        <v>3</v>
      </c>
      <c r="C148" s="1351"/>
      <c r="D148" s="1232">
        <v>44256</v>
      </c>
      <c r="E148" s="1232"/>
      <c r="F148" s="1233">
        <f>INDEX('Futures Prices'!$1:$1048576, MATCH('Margin Forecast'!$D148, 'Futures Prices'!$C:$C, 0), MATCH('Margin Forecast'!$F$10, 'Futures Prices'!$16:$16, 0))</f>
        <v>21.074487266041132</v>
      </c>
      <c r="G148" s="1234"/>
      <c r="H148" s="1234"/>
      <c r="J148" s="715">
        <f t="shared" si="25"/>
        <v>0.21293642619739619</v>
      </c>
      <c r="K148" s="674"/>
      <c r="L148" s="1234"/>
      <c r="N148" s="715">
        <f t="shared" si="26"/>
        <v>0.35277445036693744</v>
      </c>
      <c r="O148" s="674"/>
      <c r="P148" s="1234"/>
      <c r="R148" s="716">
        <f t="shared" si="27"/>
        <v>4.9014104313931899</v>
      </c>
      <c r="S148" s="1234"/>
      <c r="U148" s="716">
        <f t="shared" si="24"/>
        <v>2.3314447225354762</v>
      </c>
    </row>
    <row r="149" spans="1:21">
      <c r="A149" s="711">
        <f t="shared" si="22"/>
        <v>2021</v>
      </c>
      <c r="B149" s="711">
        <f t="shared" si="23"/>
        <v>4</v>
      </c>
      <c r="C149" s="1351"/>
      <c r="D149" s="1232">
        <v>44287</v>
      </c>
      <c r="E149" s="1232"/>
      <c r="F149" s="1233">
        <f>INDEX('Futures Prices'!$1:$1048576, MATCH('Margin Forecast'!$D149, 'Futures Prices'!$C:$C, 0), MATCH('Margin Forecast'!$F$10, 'Futures Prices'!$16:$16, 0))</f>
        <v>3.2939712557840726</v>
      </c>
      <c r="G149" s="1234"/>
      <c r="H149" s="1234"/>
      <c r="J149" s="715">
        <f t="shared" si="25"/>
        <v>3.6088129715045228E-2</v>
      </c>
      <c r="K149" s="674"/>
      <c r="L149" s="1234"/>
      <c r="N149" s="715">
        <f t="shared" si="26"/>
        <v>7.1920875510085219E-2</v>
      </c>
      <c r="O149" s="674"/>
      <c r="P149" s="1234"/>
      <c r="R149" s="716">
        <f t="shared" si="27"/>
        <v>0.66954618541182964</v>
      </c>
      <c r="S149" s="1234"/>
      <c r="U149" s="716">
        <f t="shared" si="24"/>
        <v>0.36058014385424209</v>
      </c>
    </row>
    <row r="150" spans="1:21">
      <c r="A150" s="711">
        <f t="shared" si="22"/>
        <v>2021</v>
      </c>
      <c r="B150" s="711">
        <f t="shared" si="23"/>
        <v>5</v>
      </c>
      <c r="C150" s="1351"/>
      <c r="D150" s="1232">
        <v>44317</v>
      </c>
      <c r="E150" s="1232"/>
      <c r="F150" s="1233">
        <f>INDEX('Futures Prices'!$1:$1048576, MATCH('Margin Forecast'!$D150, 'Futures Prices'!$C:$C, 0), MATCH('Margin Forecast'!$F$10, 'Futures Prices'!$16:$16, 0))</f>
        <v>-2.4384572839086314</v>
      </c>
      <c r="G150" s="1234"/>
      <c r="H150" s="1234"/>
      <c r="J150" s="715">
        <f t="shared" si="25"/>
        <v>-4.8101354090004066E-2</v>
      </c>
      <c r="K150" s="674"/>
      <c r="L150" s="1234"/>
      <c r="N150" s="715">
        <f t="shared" si="26"/>
        <v>-0.16239909994001991</v>
      </c>
      <c r="O150" s="674"/>
      <c r="P150" s="1234"/>
      <c r="R150" s="716">
        <f t="shared" si="27"/>
        <v>-0.36880688180831084</v>
      </c>
      <c r="S150" s="1234"/>
      <c r="U150" s="716">
        <f t="shared" si="24"/>
        <v>-0.27702954617181647</v>
      </c>
    </row>
    <row r="151" spans="1:21" ht="6" customHeight="1" thickBot="1">
      <c r="D151" s="615"/>
      <c r="E151" s="615"/>
      <c r="F151" s="675"/>
      <c r="G151" s="675"/>
      <c r="H151" s="675"/>
      <c r="I151" s="633"/>
      <c r="J151" s="633"/>
      <c r="K151" s="633"/>
      <c r="L151" s="675"/>
      <c r="M151" s="633"/>
      <c r="N151" s="633"/>
      <c r="O151" s="633"/>
      <c r="P151" s="675"/>
      <c r="Q151" s="676"/>
      <c r="R151" s="676"/>
      <c r="S151" s="675"/>
      <c r="T151" s="676"/>
      <c r="U151" s="676"/>
    </row>
    <row r="152" spans="1:21" ht="6" customHeight="1" thickTop="1">
      <c r="J152" s="677"/>
    </row>
    <row r="153" spans="1:21">
      <c r="D153" s="678">
        <f>D11</f>
        <v>1</v>
      </c>
      <c r="F153" s="620" t="s">
        <v>427</v>
      </c>
    </row>
    <row r="154" spans="1:21">
      <c r="D154" s="678">
        <f>F11</f>
        <v>2</v>
      </c>
      <c r="F154" s="620" t="s">
        <v>428</v>
      </c>
    </row>
    <row r="155" spans="1:21">
      <c r="D155" s="678">
        <f>H11</f>
        <v>3</v>
      </c>
      <c r="F155" s="620" t="str">
        <f>"["&amp;I11&amp;"] / ["&amp;F11&amp;"]"</f>
        <v>[4] / [2]</v>
      </c>
    </row>
    <row r="156" spans="1:21">
      <c r="D156" s="678">
        <f>I11</f>
        <v>4</v>
      </c>
      <c r="F156" s="620" t="str">
        <f>"Average estimated energy margin of all "&amp;H8&amp;" units used in analysis"</f>
        <v>Average estimated energy margin of all CC units used in analysis</v>
      </c>
    </row>
    <row r="157" spans="1:21">
      <c r="D157" s="678">
        <f>J11</f>
        <v>5</v>
      </c>
      <c r="F157" s="620" t="str">
        <f>"(Average of 2010 - 2012 values in ["&amp;H11&amp;"] for month of ["&amp;D11&amp;"]) * ["&amp;F11&amp;"]"</f>
        <v>(Average of 2010 - 2012 values in [3] for month of [1]) * [2]</v>
      </c>
    </row>
    <row r="158" spans="1:21">
      <c r="D158" s="678">
        <f>L11</f>
        <v>6</v>
      </c>
      <c r="F158" s="620" t="str">
        <f>"["&amp;M11&amp;"] / ["&amp;F11&amp;"]"</f>
        <v>[7] / [2]</v>
      </c>
    </row>
    <row r="159" spans="1:21">
      <c r="D159" s="678">
        <f>M11</f>
        <v>7</v>
      </c>
      <c r="F159" s="620" t="str">
        <f>"Average estimated energy margin of all "&amp;L8&amp;" units used in analysis"</f>
        <v>Average estimated energy margin of all CT units used in analysis</v>
      </c>
    </row>
    <row r="160" spans="1:21">
      <c r="D160" s="678">
        <f>N11</f>
        <v>8</v>
      </c>
      <c r="F160" s="620" t="str">
        <f>"(Average of 2010 - 2012 values in ["&amp;L11&amp;"] for month of ["&amp;D11&amp;"]) * ["&amp;F11&amp;"]"</f>
        <v>(Average of 2010 - 2012 values in [6] for month of [1]) * [2]</v>
      </c>
    </row>
    <row r="161" spans="4:6">
      <c r="D161" s="678">
        <f>P11</f>
        <v>9</v>
      </c>
      <c r="F161" s="620" t="str">
        <f>"["&amp;Q11&amp;"] / ["&amp;F11&amp;"]"</f>
        <v>[10] / [2]</v>
      </c>
    </row>
    <row r="162" spans="4:6">
      <c r="D162" s="678">
        <f>Q11</f>
        <v>10</v>
      </c>
      <c r="F162" s="620" t="str">
        <f>"Average estimated energy margin of all "&amp;P8&amp;" units used in analysis"</f>
        <v>Average estimated energy margin of all Onshore Wind units used in analysis</v>
      </c>
    </row>
    <row r="163" spans="4:6">
      <c r="D163" s="678">
        <f>R11</f>
        <v>11</v>
      </c>
      <c r="F163" s="620" t="str">
        <f>"(Average of 2010 - 2012 values in ["&amp;P11&amp;"] for month of ["&amp;D11&amp;"]) * ["&amp;F11&amp;"]"</f>
        <v>(Average of 2010 - 2012 values in [9] for month of [1]) * [2]</v>
      </c>
    </row>
    <row r="164" spans="4:6">
      <c r="D164" s="678">
        <f>S11</f>
        <v>12</v>
      </c>
      <c r="F164" s="620" t="str">
        <f>"["&amp;T11&amp;"] / ["&amp;F11&amp;"]"</f>
        <v>[13] / [2]</v>
      </c>
    </row>
    <row r="165" spans="4:6">
      <c r="D165" s="678">
        <f>T11</f>
        <v>13</v>
      </c>
      <c r="F165" s="620" t="str">
        <f>"Average estimated energy margin of all "&amp;S8&amp;" units used in analysis"</f>
        <v>Average estimated energy margin of all Solar PV units used in analysis</v>
      </c>
    </row>
    <row r="166" spans="4:6">
      <c r="D166" s="678">
        <f>U11</f>
        <v>14</v>
      </c>
      <c r="F166" s="620" t="str">
        <f>"(Average of 2010 - 2012 values in ["&amp;S11&amp;"] for month of ["&amp;D11&amp;"]) * ["&amp;F11&amp;"]"</f>
        <v>(Average of 2010 - 2012 values in [12] for month of [1]) * [2]</v>
      </c>
    </row>
  </sheetData>
  <mergeCells count="3">
    <mergeCell ref="C115:C126"/>
    <mergeCell ref="C139:C150"/>
    <mergeCell ref="C127:C138"/>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6"/>
  </sheetPr>
  <dimension ref="A1:D17"/>
  <sheetViews>
    <sheetView workbookViewId="0">
      <selection activeCell="D26" sqref="D26"/>
    </sheetView>
  </sheetViews>
  <sheetFormatPr defaultRowHeight="12.75"/>
  <cols>
    <col min="1" max="1" width="9.85546875" bestFit="1" customWidth="1"/>
    <col min="2" max="2" width="6.5703125" customWidth="1"/>
    <col min="3" max="3" width="17.5703125" customWidth="1"/>
    <col min="4" max="4" width="90" bestFit="1" customWidth="1"/>
  </cols>
  <sheetData>
    <row r="1" spans="1:4">
      <c r="A1" s="278" t="s">
        <v>91</v>
      </c>
      <c r="B1" s="126" t="str">
        <f>'ORTP Summary'!C1</f>
        <v>ISO-NE ORTP 2013 Study</v>
      </c>
    </row>
    <row r="2" spans="1:4">
      <c r="A2" s="126" t="s">
        <v>92</v>
      </c>
      <c r="B2" s="140" t="s">
        <v>113</v>
      </c>
    </row>
    <row r="3" spans="1:4">
      <c r="A3" s="126" t="s">
        <v>114</v>
      </c>
      <c r="B3" s="95" t="s">
        <v>950</v>
      </c>
    </row>
    <row r="5" spans="1:4" ht="6" customHeight="1" thickBot="1">
      <c r="B5" s="157"/>
      <c r="C5" s="157"/>
      <c r="D5" s="157"/>
    </row>
    <row r="6" spans="1:4" ht="6" customHeight="1" thickTop="1"/>
    <row r="7" spans="1:4">
      <c r="A7" s="1256"/>
      <c r="B7" s="1262" t="s">
        <v>952</v>
      </c>
      <c r="C7" s="1262" t="s">
        <v>955</v>
      </c>
      <c r="D7" s="1262" t="s">
        <v>954</v>
      </c>
    </row>
    <row r="8" spans="1:4" ht="6" customHeight="1">
      <c r="A8" s="1256"/>
      <c r="B8" s="1260"/>
      <c r="C8" s="1260"/>
      <c r="D8" s="1261"/>
    </row>
    <row r="9" spans="1:4" ht="6" customHeight="1">
      <c r="A9" s="1256"/>
      <c r="B9" s="1256"/>
      <c r="C9" s="1256"/>
    </row>
    <row r="10" spans="1:4">
      <c r="B10" s="141">
        <v>1</v>
      </c>
      <c r="C10" s="141" t="s">
        <v>116</v>
      </c>
      <c r="D10" s="141" t="s">
        <v>956</v>
      </c>
    </row>
    <row r="11" spans="1:4">
      <c r="B11" s="141">
        <v>2</v>
      </c>
      <c r="C11" s="141" t="s">
        <v>953</v>
      </c>
      <c r="D11" s="141" t="s">
        <v>957</v>
      </c>
    </row>
    <row r="12" spans="1:4">
      <c r="B12" s="141">
        <v>3</v>
      </c>
      <c r="C12" s="141" t="s">
        <v>296</v>
      </c>
      <c r="D12" s="141" t="s">
        <v>958</v>
      </c>
    </row>
    <row r="13" spans="1:4">
      <c r="B13" s="141">
        <v>4</v>
      </c>
      <c r="C13" s="141" t="s">
        <v>959</v>
      </c>
      <c r="D13" s="141" t="s">
        <v>960</v>
      </c>
    </row>
    <row r="14" spans="1:4">
      <c r="B14" s="141">
        <v>5</v>
      </c>
      <c r="C14" s="141" t="s">
        <v>119</v>
      </c>
      <c r="D14" s="141" t="s">
        <v>965</v>
      </c>
    </row>
    <row r="15" spans="1:4" ht="6" customHeight="1" thickBot="1">
      <c r="B15" s="157"/>
      <c r="C15" s="157"/>
      <c r="D15" s="157"/>
    </row>
    <row r="16" spans="1:4" ht="6" customHeight="1" thickTop="1">
      <c r="C16" s="494"/>
    </row>
    <row r="17" spans="3:3">
      <c r="C17" s="494"/>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sheetPr>
    <tabColor theme="9"/>
  </sheetPr>
  <dimension ref="A1:R122"/>
  <sheetViews>
    <sheetView topLeftCell="B1" workbookViewId="0">
      <selection activeCell="C2" sqref="C2"/>
    </sheetView>
  </sheetViews>
  <sheetFormatPr defaultRowHeight="12.75" outlineLevelRow="1" outlineLevelCol="1"/>
  <cols>
    <col min="1" max="1" width="9.140625" style="705" hidden="1" customWidth="1" outlineLevel="1"/>
    <col min="2" max="2" width="11.42578125" style="619" customWidth="1" collapsed="1"/>
    <col min="3" max="3" width="12.7109375" style="619" customWidth="1"/>
    <col min="4" max="5" width="16.7109375" style="619" customWidth="1"/>
    <col min="6" max="6" width="16.7109375" style="653" customWidth="1"/>
    <col min="7" max="8" width="16.7109375" style="619" customWidth="1"/>
    <col min="9" max="11" width="9.140625" style="619"/>
    <col min="12" max="12" width="16.5703125" style="619" customWidth="1"/>
    <col min="13" max="16384" width="9.140625" style="619"/>
  </cols>
  <sheetData>
    <row r="1" spans="1:12">
      <c r="B1" s="126" t="s">
        <v>91</v>
      </c>
      <c r="C1" s="126" t="str">
        <f>'ORTP Summary'!C1</f>
        <v>ISO-NE ORTP 2013 Study</v>
      </c>
    </row>
    <row r="2" spans="1:12">
      <c r="B2" s="126" t="s">
        <v>92</v>
      </c>
      <c r="C2" s="140" t="s">
        <v>113</v>
      </c>
    </row>
    <row r="3" spans="1:12">
      <c r="B3" s="126" t="s">
        <v>114</v>
      </c>
      <c r="C3" s="95" t="s">
        <v>432</v>
      </c>
    </row>
    <row r="4" spans="1:12">
      <c r="B4" s="126"/>
      <c r="C4" s="95"/>
    </row>
    <row r="5" spans="1:12">
      <c r="B5" s="126" t="s">
        <v>889</v>
      </c>
      <c r="C5" s="126" t="s">
        <v>926</v>
      </c>
    </row>
    <row r="6" spans="1:12">
      <c r="B6" s="126"/>
      <c r="C6" s="126" t="s">
        <v>927</v>
      </c>
    </row>
    <row r="7" spans="1:12">
      <c r="B7" s="126"/>
      <c r="C7" s="126" t="s">
        <v>928</v>
      </c>
    </row>
    <row r="8" spans="1:12">
      <c r="B8" s="126"/>
      <c r="C8" s="126" t="s">
        <v>930</v>
      </c>
    </row>
    <row r="9" spans="1:12" ht="12.75" customHeight="1">
      <c r="C9" s="619" t="s">
        <v>931</v>
      </c>
    </row>
    <row r="10" spans="1:12" ht="12.75" customHeight="1">
      <c r="C10" s="619" t="s">
        <v>932</v>
      </c>
      <c r="D10" s="685"/>
      <c r="E10" s="685"/>
      <c r="F10" s="685"/>
      <c r="G10" s="685"/>
      <c r="H10" s="685"/>
    </row>
    <row r="11" spans="1:12" ht="12.75" customHeight="1">
      <c r="C11" s="619" t="s">
        <v>933</v>
      </c>
      <c r="D11" s="685"/>
      <c r="E11" s="685"/>
      <c r="F11" s="685"/>
      <c r="G11" s="685"/>
      <c r="H11" s="685"/>
    </row>
    <row r="12" spans="1:12" ht="15.75">
      <c r="D12" s="685"/>
      <c r="E12" s="685"/>
      <c r="F12" s="685"/>
      <c r="G12" s="685"/>
      <c r="H12" s="685"/>
    </row>
    <row r="13" spans="1:12" ht="15.75">
      <c r="C13" s="699" t="s">
        <v>422</v>
      </c>
      <c r="D13" s="635"/>
      <c r="E13" s="635"/>
      <c r="F13" s="700"/>
      <c r="G13" s="635"/>
      <c r="H13" s="635"/>
    </row>
    <row r="14" spans="1:12" ht="3.75" customHeight="1" thickBot="1">
      <c r="C14" s="632"/>
      <c r="D14" s="633"/>
      <c r="E14" s="633"/>
      <c r="F14" s="634"/>
      <c r="G14" s="632"/>
      <c r="H14" s="633"/>
    </row>
    <row r="15" spans="1:12" ht="5.25" customHeight="1" thickTop="1">
      <c r="D15" s="635"/>
      <c r="F15" s="635"/>
      <c r="H15" s="635"/>
    </row>
    <row r="16" spans="1:12" s="640" customFormat="1" ht="40.5" customHeight="1">
      <c r="A16" s="706"/>
      <c r="C16" s="701" t="s">
        <v>416</v>
      </c>
      <c r="D16" s="701" t="s">
        <v>423</v>
      </c>
      <c r="E16" s="702" t="s">
        <v>446</v>
      </c>
      <c r="F16" s="701" t="s">
        <v>445</v>
      </c>
      <c r="G16" s="708" t="s">
        <v>443</v>
      </c>
      <c r="H16" s="702" t="s">
        <v>444</v>
      </c>
      <c r="I16" s="639"/>
      <c r="J16" s="639"/>
      <c r="K16" s="639"/>
      <c r="L16" s="639"/>
    </row>
    <row r="17" spans="1:18" s="641" customFormat="1" ht="13.5" customHeight="1">
      <c r="A17" s="707"/>
      <c r="C17" s="655">
        <f>1</f>
        <v>1</v>
      </c>
      <c r="D17" s="655">
        <f>C17+1</f>
        <v>2</v>
      </c>
      <c r="E17" s="655">
        <f>D17+1</f>
        <v>3</v>
      </c>
      <c r="F17" s="655">
        <f>E17+1</f>
        <v>4</v>
      </c>
      <c r="G17" s="655">
        <f>F17+1</f>
        <v>5</v>
      </c>
      <c r="H17" s="655">
        <f>G17+1</f>
        <v>6</v>
      </c>
    </row>
    <row r="18" spans="1:18" s="641" customFormat="1" ht="6" customHeight="1">
      <c r="A18" s="707"/>
      <c r="C18" s="1105"/>
      <c r="D18" s="1105"/>
      <c r="E18" s="1105"/>
      <c r="F18" s="1105"/>
      <c r="G18" s="1105"/>
      <c r="H18" s="1105"/>
    </row>
    <row r="19" spans="1:18" s="641" customFormat="1" ht="5.25" customHeight="1">
      <c r="A19" s="707"/>
      <c r="C19" s="642"/>
      <c r="D19" s="637"/>
      <c r="E19" s="643"/>
      <c r="F19" s="637"/>
      <c r="G19" s="637"/>
      <c r="H19" s="638"/>
    </row>
    <row r="20" spans="1:18" s="641" customFormat="1" hidden="1" outlineLevel="1">
      <c r="A20" s="707"/>
      <c r="C20" s="1224">
        <v>41487</v>
      </c>
      <c r="D20" s="1225">
        <v>3.617</v>
      </c>
      <c r="E20" s="1226">
        <v>0.37999999999999989</v>
      </c>
      <c r="F20" s="1225">
        <v>3.9969999999999999</v>
      </c>
      <c r="G20" s="1227">
        <v>52.85</v>
      </c>
      <c r="H20" s="1228" t="s">
        <v>152</v>
      </c>
      <c r="R20" s="1201"/>
    </row>
    <row r="21" spans="1:18" s="641" customFormat="1" hidden="1" outlineLevel="1">
      <c r="A21" s="707"/>
      <c r="C21" s="1224">
        <v>41518</v>
      </c>
      <c r="D21" s="1225">
        <v>3.6179999999999999</v>
      </c>
      <c r="E21" s="1226">
        <v>0.125</v>
      </c>
      <c r="F21" s="1225">
        <v>3.7429999999999999</v>
      </c>
      <c r="G21" s="1227">
        <v>41.23</v>
      </c>
      <c r="H21" s="1228" t="s">
        <v>152</v>
      </c>
      <c r="R21" s="1201"/>
    </row>
    <row r="22" spans="1:18" s="641" customFormat="1" collapsed="1">
      <c r="A22" s="707">
        <f t="shared" ref="A22:A84" si="0">MONTH(C22)</f>
        <v>10</v>
      </c>
      <c r="C22" s="644">
        <v>41548</v>
      </c>
      <c r="D22" s="645">
        <v>3.6179999999999999</v>
      </c>
      <c r="E22" s="1229">
        <f>F22-D22</f>
        <v>6.4999999999999947E-2</v>
      </c>
      <c r="F22" s="645">
        <v>3.6829999999999998</v>
      </c>
      <c r="G22" s="648">
        <v>38.840000000000003</v>
      </c>
      <c r="H22" s="704">
        <f t="shared" ref="H22:H33" si="1">G22/F22*10^3</f>
        <v>10545.750746673908</v>
      </c>
      <c r="L22" s="647"/>
      <c r="R22" s="1201"/>
    </row>
    <row r="23" spans="1:18" s="641" customFormat="1">
      <c r="A23" s="707">
        <f t="shared" si="0"/>
        <v>11</v>
      </c>
      <c r="C23" s="644">
        <v>41579</v>
      </c>
      <c r="D23" s="645">
        <v>3.72</v>
      </c>
      <c r="E23" s="1229">
        <f t="shared" ref="E23:E33" si="2">F23-D23</f>
        <v>1.1299999999999994</v>
      </c>
      <c r="F23" s="645">
        <v>4.8499999999999996</v>
      </c>
      <c r="G23" s="648">
        <v>47.28</v>
      </c>
      <c r="H23" s="704">
        <f t="shared" si="1"/>
        <v>9748.4536082474242</v>
      </c>
      <c r="L23" s="647"/>
      <c r="R23" s="1201"/>
    </row>
    <row r="24" spans="1:18" s="641" customFormat="1">
      <c r="A24" s="707">
        <f t="shared" si="0"/>
        <v>12</v>
      </c>
      <c r="C24" s="644">
        <v>41609</v>
      </c>
      <c r="D24" s="645">
        <v>3.8740000000000001</v>
      </c>
      <c r="E24" s="1229">
        <f t="shared" si="2"/>
        <v>4.58</v>
      </c>
      <c r="F24" s="645">
        <v>8.4540000000000006</v>
      </c>
      <c r="G24" s="648">
        <v>75.09</v>
      </c>
      <c r="H24" s="704">
        <f t="shared" si="1"/>
        <v>8882.1859474804824</v>
      </c>
      <c r="L24" s="647"/>
      <c r="R24" s="1201"/>
    </row>
    <row r="25" spans="1:18" s="641" customFormat="1">
      <c r="A25" s="707">
        <f t="shared" si="0"/>
        <v>1</v>
      </c>
      <c r="C25" s="644">
        <v>41640</v>
      </c>
      <c r="D25" s="645">
        <v>3.9580000000000002</v>
      </c>
      <c r="E25" s="1229">
        <f t="shared" si="2"/>
        <v>7.98</v>
      </c>
      <c r="F25" s="645">
        <v>11.938000000000001</v>
      </c>
      <c r="G25" s="648">
        <v>96.5</v>
      </c>
      <c r="H25" s="704">
        <f t="shared" si="1"/>
        <v>8083.4310604791426</v>
      </c>
      <c r="L25" s="647"/>
      <c r="R25" s="1201"/>
    </row>
    <row r="26" spans="1:18" s="641" customFormat="1">
      <c r="A26" s="707">
        <f t="shared" si="0"/>
        <v>2</v>
      </c>
      <c r="C26" s="644">
        <v>41671</v>
      </c>
      <c r="D26" s="645">
        <v>3.9569999999999999</v>
      </c>
      <c r="E26" s="1229">
        <f t="shared" si="2"/>
        <v>7.03</v>
      </c>
      <c r="F26" s="645">
        <v>10.987</v>
      </c>
      <c r="G26" s="648">
        <v>96.5</v>
      </c>
      <c r="H26" s="704">
        <f t="shared" si="1"/>
        <v>8783.1073086374818</v>
      </c>
      <c r="L26" s="647"/>
      <c r="R26" s="1201"/>
    </row>
    <row r="27" spans="1:18" s="641" customFormat="1">
      <c r="A27" s="707">
        <f t="shared" si="0"/>
        <v>3</v>
      </c>
      <c r="C27" s="644">
        <v>41699</v>
      </c>
      <c r="D27" s="645">
        <v>3.919</v>
      </c>
      <c r="E27" s="1229">
        <f t="shared" si="2"/>
        <v>1.8800000000000003</v>
      </c>
      <c r="F27" s="645">
        <v>5.7990000000000004</v>
      </c>
      <c r="G27" s="648">
        <v>55.63</v>
      </c>
      <c r="H27" s="704">
        <f t="shared" si="1"/>
        <v>9593.0332816002756</v>
      </c>
      <c r="L27" s="647"/>
      <c r="R27" s="1201"/>
    </row>
    <row r="28" spans="1:18" s="641" customFormat="1">
      <c r="A28" s="707">
        <f t="shared" si="0"/>
        <v>4</v>
      </c>
      <c r="C28" s="644">
        <v>41730</v>
      </c>
      <c r="D28" s="645">
        <v>3.8490000000000002</v>
      </c>
      <c r="E28" s="1229">
        <f t="shared" si="2"/>
        <v>0.2759999999999998</v>
      </c>
      <c r="F28" s="645">
        <v>4.125</v>
      </c>
      <c r="G28" s="648">
        <v>42.13</v>
      </c>
      <c r="H28" s="704">
        <f t="shared" si="1"/>
        <v>10213.333333333334</v>
      </c>
      <c r="L28" s="647"/>
      <c r="R28" s="1201"/>
    </row>
    <row r="29" spans="1:18" s="641" customFormat="1">
      <c r="A29" s="707">
        <f t="shared" si="0"/>
        <v>5</v>
      </c>
      <c r="C29" s="644">
        <v>41760</v>
      </c>
      <c r="D29" s="645">
        <v>3.8679999999999999</v>
      </c>
      <c r="E29" s="1229">
        <f t="shared" si="2"/>
        <v>-0.18900000000000006</v>
      </c>
      <c r="F29" s="645">
        <v>3.6789999999999998</v>
      </c>
      <c r="G29" s="648">
        <v>40.619999999999997</v>
      </c>
      <c r="H29" s="704">
        <f t="shared" si="1"/>
        <v>11041.043761891819</v>
      </c>
      <c r="L29" s="647"/>
      <c r="R29" s="1201"/>
    </row>
    <row r="30" spans="1:18" s="641" customFormat="1">
      <c r="A30" s="707">
        <f t="shared" si="0"/>
        <v>6</v>
      </c>
      <c r="C30" s="644">
        <v>41791</v>
      </c>
      <c r="D30" s="645">
        <v>3.8959999999999999</v>
      </c>
      <c r="E30" s="1229">
        <f t="shared" si="2"/>
        <v>0.24600000000000044</v>
      </c>
      <c r="F30" s="645">
        <v>4.1420000000000003</v>
      </c>
      <c r="G30" s="648">
        <v>44.5</v>
      </c>
      <c r="H30" s="704">
        <f t="shared" si="1"/>
        <v>10743.602124577497</v>
      </c>
      <c r="L30" s="647"/>
      <c r="R30" s="1201"/>
    </row>
    <row r="31" spans="1:18" s="641" customFormat="1">
      <c r="A31" s="707">
        <f t="shared" si="0"/>
        <v>7</v>
      </c>
      <c r="C31" s="644">
        <v>41821</v>
      </c>
      <c r="D31" s="645">
        <v>3.9279999999999999</v>
      </c>
      <c r="E31" s="1229">
        <f t="shared" si="2"/>
        <v>0.25900000000000034</v>
      </c>
      <c r="F31" s="645">
        <v>4.1870000000000003</v>
      </c>
      <c r="G31" s="648">
        <v>53.4</v>
      </c>
      <c r="H31" s="704">
        <f t="shared" si="1"/>
        <v>12753.761643181275</v>
      </c>
      <c r="R31" s="1201"/>
    </row>
    <row r="32" spans="1:18" s="641" customFormat="1">
      <c r="A32" s="707">
        <f t="shared" si="0"/>
        <v>8</v>
      </c>
      <c r="C32" s="644">
        <v>41852</v>
      </c>
      <c r="D32" s="645">
        <v>3.944</v>
      </c>
      <c r="E32" s="1229">
        <f t="shared" si="2"/>
        <v>0.25900000000000034</v>
      </c>
      <c r="F32" s="645">
        <v>4.2030000000000003</v>
      </c>
      <c r="G32" s="648">
        <v>53.4</v>
      </c>
      <c r="H32" s="704">
        <f t="shared" si="1"/>
        <v>12705.21056388294</v>
      </c>
      <c r="I32" s="650"/>
      <c r="R32" s="1201"/>
    </row>
    <row r="33" spans="1:18" s="641" customFormat="1">
      <c r="A33" s="707">
        <f t="shared" si="0"/>
        <v>9</v>
      </c>
      <c r="C33" s="644">
        <v>41883</v>
      </c>
      <c r="D33" s="645">
        <v>3.9430000000000001</v>
      </c>
      <c r="E33" s="1229">
        <f t="shared" si="2"/>
        <v>-0.13900000000000023</v>
      </c>
      <c r="F33" s="645">
        <v>3.8039999999999998</v>
      </c>
      <c r="G33" s="648">
        <v>41</v>
      </c>
      <c r="H33" s="704">
        <f t="shared" si="1"/>
        <v>10778.128286014722</v>
      </c>
      <c r="R33" s="1201"/>
    </row>
    <row r="34" spans="1:18" s="641" customFormat="1" outlineLevel="1">
      <c r="A34" s="707">
        <f t="shared" si="0"/>
        <v>10</v>
      </c>
      <c r="C34" s="644">
        <v>41913</v>
      </c>
      <c r="D34" s="645">
        <v>3.964</v>
      </c>
      <c r="E34" s="1194">
        <f>E22*(1+'CONE Calcs'!Inflation)</f>
        <v>6.6462499999999938E-2</v>
      </c>
      <c r="F34" s="1195">
        <f t="shared" ref="F34:F89" si="3">D34+E34</f>
        <v>4.0304624999999996</v>
      </c>
      <c r="G34" s="1196">
        <f>F34*INDEX($H$22:$H$33,MATCH(A34,$A$22:$A$33,0))/10^3</f>
        <v>42.504252918816178</v>
      </c>
      <c r="H34" s="703" t="s">
        <v>152</v>
      </c>
    </row>
    <row r="35" spans="1:18" s="641" customFormat="1" outlineLevel="1">
      <c r="A35" s="707">
        <f t="shared" si="0"/>
        <v>11</v>
      </c>
      <c r="C35" s="644">
        <v>41944</v>
      </c>
      <c r="D35" s="645">
        <v>4.0410000000000004</v>
      </c>
      <c r="E35" s="1194">
        <f>E23*(1+'CONE Calcs'!Inflation)</f>
        <v>1.1554249999999995</v>
      </c>
      <c r="F35" s="1195">
        <f t="shared" si="3"/>
        <v>5.1964249999999996</v>
      </c>
      <c r="G35" s="1196">
        <f t="shared" ref="G35:G98" si="4">F35*INDEX($H$22:$H$33,MATCH(A35,$A$22:$A$33,0))/10^3</f>
        <v>50.657108041237116</v>
      </c>
      <c r="H35" s="703" t="s">
        <v>152</v>
      </c>
    </row>
    <row r="36" spans="1:18" s="641" customFormat="1" outlineLevel="1">
      <c r="A36" s="707">
        <f t="shared" si="0"/>
        <v>12</v>
      </c>
      <c r="C36" s="644">
        <v>41974</v>
      </c>
      <c r="D36" s="645">
        <v>4.1970000000000001</v>
      </c>
      <c r="E36" s="1194">
        <f>E24*(1+'CONE Calcs'!Inflation)</f>
        <v>4.6830499999999997</v>
      </c>
      <c r="F36" s="1195">
        <f t="shared" si="3"/>
        <v>8.8800500000000007</v>
      </c>
      <c r="G36" s="1196">
        <f t="shared" si="4"/>
        <v>78.874255322924057</v>
      </c>
      <c r="H36" s="703" t="s">
        <v>152</v>
      </c>
    </row>
    <row r="37" spans="1:18" s="641" customFormat="1" outlineLevel="1">
      <c r="A37" s="707">
        <f t="shared" si="0"/>
        <v>1</v>
      </c>
      <c r="C37" s="644">
        <v>42005</v>
      </c>
      <c r="D37" s="645">
        <v>4.2779999999999996</v>
      </c>
      <c r="E37" s="1194">
        <f>E25*(1+'CONE Calcs'!Inflation)</f>
        <v>8.1595499999999994</v>
      </c>
      <c r="F37" s="1195">
        <f t="shared" si="3"/>
        <v>12.437549999999998</v>
      </c>
      <c r="G37" s="1196">
        <f t="shared" si="4"/>
        <v>100.53807798626235</v>
      </c>
      <c r="H37" s="703" t="s">
        <v>152</v>
      </c>
    </row>
    <row r="38" spans="1:18" s="641" customFormat="1" outlineLevel="1">
      <c r="A38" s="707">
        <f t="shared" si="0"/>
        <v>2</v>
      </c>
      <c r="C38" s="644">
        <v>42036</v>
      </c>
      <c r="D38" s="645">
        <v>4.2549999999999999</v>
      </c>
      <c r="E38" s="1194">
        <f>E26*(1+'CONE Calcs'!Inflation)</f>
        <v>7.1881750000000002</v>
      </c>
      <c r="F38" s="1195">
        <f t="shared" si="3"/>
        <v>11.443175</v>
      </c>
      <c r="G38" s="1196">
        <f t="shared" si="4"/>
        <v>100.5066339765177</v>
      </c>
      <c r="H38" s="703" t="s">
        <v>152</v>
      </c>
    </row>
    <row r="39" spans="1:18" s="641" customFormat="1" outlineLevel="1">
      <c r="A39" s="707">
        <f t="shared" si="0"/>
        <v>3</v>
      </c>
      <c r="C39" s="644">
        <v>42064</v>
      </c>
      <c r="D39" s="645">
        <v>4.202</v>
      </c>
      <c r="E39" s="1194">
        <f>E27*(1+'CONE Calcs'!Inflation)</f>
        <v>1.9223000000000003</v>
      </c>
      <c r="F39" s="1195">
        <f t="shared" si="3"/>
        <v>6.1242999999999999</v>
      </c>
      <c r="G39" s="1196">
        <f t="shared" si="4"/>
        <v>58.750613726504568</v>
      </c>
      <c r="H39" s="703" t="s">
        <v>152</v>
      </c>
    </row>
    <row r="40" spans="1:18" s="641" customFormat="1" outlineLevel="1">
      <c r="A40" s="707">
        <f t="shared" si="0"/>
        <v>4</v>
      </c>
      <c r="C40" s="644">
        <v>42095</v>
      </c>
      <c r="D40" s="645">
        <v>4.0039999999999996</v>
      </c>
      <c r="E40" s="1194">
        <f>E28*(1+'CONE Calcs'!Inflation)</f>
        <v>0.28220999999999979</v>
      </c>
      <c r="F40" s="1195">
        <f t="shared" si="3"/>
        <v>4.2862099999999996</v>
      </c>
      <c r="G40" s="1196">
        <f t="shared" si="4"/>
        <v>43.77649146666667</v>
      </c>
      <c r="H40" s="703" t="s">
        <v>152</v>
      </c>
    </row>
    <row r="41" spans="1:18" s="641" customFormat="1" outlineLevel="1">
      <c r="A41" s="707">
        <f t="shared" si="0"/>
        <v>5</v>
      </c>
      <c r="C41" s="644">
        <v>42125</v>
      </c>
      <c r="D41" s="645">
        <v>4.0170000000000003</v>
      </c>
      <c r="E41" s="1194">
        <f>E29*(1+'CONE Calcs'!Inflation)</f>
        <v>-0.19325250000000005</v>
      </c>
      <c r="F41" s="1195">
        <f t="shared" si="3"/>
        <v>3.8237475000000005</v>
      </c>
      <c r="G41" s="1196">
        <f t="shared" si="4"/>
        <v>42.218163481924442</v>
      </c>
      <c r="H41" s="703" t="s">
        <v>152</v>
      </c>
    </row>
    <row r="42" spans="1:18" s="641" customFormat="1" outlineLevel="1">
      <c r="A42" s="707">
        <f t="shared" si="0"/>
        <v>6</v>
      </c>
      <c r="C42" s="644">
        <v>42156</v>
      </c>
      <c r="D42" s="645">
        <v>4.0439999999999996</v>
      </c>
      <c r="E42" s="1194">
        <f>E30*(1+'CONE Calcs'!Inflation)</f>
        <v>0.25153500000000045</v>
      </c>
      <c r="F42" s="1195">
        <f t="shared" si="3"/>
        <v>4.2955350000000001</v>
      </c>
      <c r="G42" s="1196">
        <f t="shared" si="4"/>
        <v>46.149518952196999</v>
      </c>
      <c r="H42" s="703" t="s">
        <v>152</v>
      </c>
    </row>
    <row r="43" spans="1:18" s="641" customFormat="1" outlineLevel="1">
      <c r="A43" s="707">
        <f t="shared" si="0"/>
        <v>7</v>
      </c>
      <c r="C43" s="644">
        <v>42186</v>
      </c>
      <c r="D43" s="645">
        <v>4.0759999999999996</v>
      </c>
      <c r="E43" s="1194">
        <f>E31*(1+'CONE Calcs'!Inflation)</f>
        <v>0.26482750000000033</v>
      </c>
      <c r="F43" s="1195">
        <f t="shared" si="3"/>
        <v>4.3408274999999996</v>
      </c>
      <c r="G43" s="1196">
        <f t="shared" si="4"/>
        <v>55.361879269166465</v>
      </c>
      <c r="H43" s="703" t="s">
        <v>152</v>
      </c>
    </row>
    <row r="44" spans="1:18" s="641" customFormat="1" outlineLevel="1">
      <c r="A44" s="707">
        <f t="shared" si="0"/>
        <v>8</v>
      </c>
      <c r="C44" s="644">
        <v>42217</v>
      </c>
      <c r="D44" s="645">
        <v>4.0919999999999996</v>
      </c>
      <c r="E44" s="1194">
        <f>E32*(1+'CONE Calcs'!Inflation)</f>
        <v>0.26482750000000033</v>
      </c>
      <c r="F44" s="1195">
        <f t="shared" si="3"/>
        <v>4.3568274999999996</v>
      </c>
      <c r="G44" s="1196">
        <f t="shared" si="4"/>
        <v>55.354410778015691</v>
      </c>
      <c r="H44" s="703" t="s">
        <v>152</v>
      </c>
    </row>
    <row r="45" spans="1:18" s="641" customFormat="1" outlineLevel="1">
      <c r="A45" s="707">
        <f t="shared" si="0"/>
        <v>9</v>
      </c>
      <c r="C45" s="644">
        <v>42248</v>
      </c>
      <c r="D45" s="645">
        <v>4.0919999999999996</v>
      </c>
      <c r="E45" s="1194">
        <f>E33*(1+'CONE Calcs'!Inflation)</f>
        <v>-0.14212750000000024</v>
      </c>
      <c r="F45" s="1195">
        <f t="shared" si="3"/>
        <v>3.9498724999999992</v>
      </c>
      <c r="G45" s="1196">
        <f t="shared" si="4"/>
        <v>42.572232518401677</v>
      </c>
      <c r="H45" s="703" t="s">
        <v>152</v>
      </c>
    </row>
    <row r="46" spans="1:18" s="641" customFormat="1" outlineLevel="1">
      <c r="A46" s="707">
        <f t="shared" si="0"/>
        <v>10</v>
      </c>
      <c r="C46" s="644">
        <v>42278</v>
      </c>
      <c r="D46" s="645">
        <v>4.1109999999999998</v>
      </c>
      <c r="E46" s="1194">
        <f>E34*(1+'CONE Calcs'!Inflation)</f>
        <v>6.7957906249999936E-2</v>
      </c>
      <c r="F46" s="1195">
        <f t="shared" si="3"/>
        <v>4.17895790625</v>
      </c>
      <c r="G46" s="1196">
        <f t="shared" si="4"/>
        <v>44.070248460154772</v>
      </c>
      <c r="H46" s="703" t="s">
        <v>152</v>
      </c>
    </row>
    <row r="47" spans="1:18" s="641" customFormat="1" outlineLevel="1">
      <c r="A47" s="707">
        <f t="shared" si="0"/>
        <v>11</v>
      </c>
      <c r="C47" s="644">
        <v>42309</v>
      </c>
      <c r="D47" s="645">
        <v>4.1829999999999998</v>
      </c>
      <c r="E47" s="1194">
        <f>E35*(1+'CONE Calcs'!Inflation)</f>
        <v>1.1814220624999994</v>
      </c>
      <c r="F47" s="1195">
        <f t="shared" si="3"/>
        <v>5.3644220624999992</v>
      </c>
      <c r="G47" s="1196">
        <f t="shared" si="4"/>
        <v>52.294819611340209</v>
      </c>
      <c r="H47" s="703" t="s">
        <v>152</v>
      </c>
    </row>
    <row r="48" spans="1:18" s="641" customFormat="1" outlineLevel="1">
      <c r="A48" s="707">
        <f t="shared" si="0"/>
        <v>12</v>
      </c>
      <c r="C48" s="644">
        <v>42339</v>
      </c>
      <c r="D48" s="645">
        <v>4.3529999999999998</v>
      </c>
      <c r="E48" s="1194">
        <f>E36*(1+'CONE Calcs'!Inflation)</f>
        <v>4.7884186249999994</v>
      </c>
      <c r="F48" s="1195">
        <f t="shared" si="3"/>
        <v>9.141418625</v>
      </c>
      <c r="G48" s="1196">
        <f t="shared" si="4"/>
        <v>81.195780051011354</v>
      </c>
      <c r="H48" s="703" t="s">
        <v>152</v>
      </c>
    </row>
    <row r="49" spans="1:8" s="641" customFormat="1" outlineLevel="1">
      <c r="A49" s="707">
        <f t="shared" si="0"/>
        <v>1</v>
      </c>
      <c r="C49" s="644">
        <v>42370</v>
      </c>
      <c r="D49" s="645">
        <v>4.4390000000000001</v>
      </c>
      <c r="E49" s="1194">
        <f>E37*(1+'CONE Calcs'!Inflation)</f>
        <v>8.3431398749999985</v>
      </c>
      <c r="F49" s="1195">
        <f t="shared" si="3"/>
        <v>12.782139874999999</v>
      </c>
      <c r="G49" s="1196">
        <f t="shared" si="4"/>
        <v>103.32354648496397</v>
      </c>
      <c r="H49" s="703" t="s">
        <v>152</v>
      </c>
    </row>
    <row r="50" spans="1:8" s="641" customFormat="1" outlineLevel="1">
      <c r="A50" s="707">
        <f t="shared" si="0"/>
        <v>2</v>
      </c>
      <c r="C50" s="644">
        <v>42401</v>
      </c>
      <c r="D50" s="645">
        <v>4.4189999999999996</v>
      </c>
      <c r="E50" s="1194">
        <f>E38*(1+'CONE Calcs'!Inflation)</f>
        <v>7.3499089374999995</v>
      </c>
      <c r="F50" s="1195">
        <f t="shared" si="3"/>
        <v>11.768908937499999</v>
      </c>
      <c r="G50" s="1196">
        <f t="shared" si="4"/>
        <v>103.36759010364523</v>
      </c>
      <c r="H50" s="703" t="s">
        <v>152</v>
      </c>
    </row>
    <row r="51" spans="1:8" s="641" customFormat="1" outlineLevel="1">
      <c r="A51" s="707">
        <f t="shared" si="0"/>
        <v>3</v>
      </c>
      <c r="C51" s="644">
        <v>42430</v>
      </c>
      <c r="D51" s="645">
        <v>4.3490000000000002</v>
      </c>
      <c r="E51" s="1194">
        <f>E39*(1+'CONE Calcs'!Inflation)</f>
        <v>1.9655517500000004</v>
      </c>
      <c r="F51" s="1195">
        <f t="shared" si="3"/>
        <v>6.3145517500000006</v>
      </c>
      <c r="G51" s="1196">
        <f t="shared" si="4"/>
        <v>60.575705096137263</v>
      </c>
      <c r="H51" s="703" t="s">
        <v>152</v>
      </c>
    </row>
    <row r="52" spans="1:8" s="641" customFormat="1" outlineLevel="1">
      <c r="A52" s="707">
        <f t="shared" si="0"/>
        <v>4</v>
      </c>
      <c r="C52" s="644">
        <v>42461</v>
      </c>
      <c r="D52" s="645">
        <v>4.1050000000000004</v>
      </c>
      <c r="E52" s="1194">
        <f>E40*(1+'CONE Calcs'!Inflation)</f>
        <v>0.28855972499999977</v>
      </c>
      <c r="F52" s="1195">
        <f t="shared" si="3"/>
        <v>4.3935597250000002</v>
      </c>
      <c r="G52" s="1196">
        <f t="shared" si="4"/>
        <v>44.872889991333338</v>
      </c>
      <c r="H52" s="703" t="s">
        <v>152</v>
      </c>
    </row>
    <row r="53" spans="1:8" s="641" customFormat="1" outlineLevel="1">
      <c r="A53" s="707">
        <f t="shared" si="0"/>
        <v>5</v>
      </c>
      <c r="C53" s="644">
        <v>42491</v>
      </c>
      <c r="D53" s="645">
        <v>4.12</v>
      </c>
      <c r="E53" s="1194">
        <f>E41*(1+'CONE Calcs'!Inflation)</f>
        <v>-0.19760068125000005</v>
      </c>
      <c r="F53" s="1195">
        <f t="shared" si="3"/>
        <v>3.9223993187500001</v>
      </c>
      <c r="G53" s="1196">
        <f t="shared" si="4"/>
        <v>43.307382529933406</v>
      </c>
      <c r="H53" s="703" t="s">
        <v>152</v>
      </c>
    </row>
    <row r="54" spans="1:8" s="641" customFormat="1" outlineLevel="1">
      <c r="A54" s="707">
        <f t="shared" si="0"/>
        <v>6</v>
      </c>
      <c r="C54" s="644">
        <v>42522</v>
      </c>
      <c r="D54" s="645">
        <v>4.1449999999999996</v>
      </c>
      <c r="E54" s="1194">
        <f>E42*(1+'CONE Calcs'!Inflation)</f>
        <v>0.25719453750000043</v>
      </c>
      <c r="F54" s="1195">
        <f t="shared" si="3"/>
        <v>4.4021945374999998</v>
      </c>
      <c r="G54" s="1196">
        <f t="shared" si="4"/>
        <v>47.295426585888457</v>
      </c>
      <c r="H54" s="703" t="s">
        <v>152</v>
      </c>
    </row>
    <row r="55" spans="1:8" s="641" customFormat="1" outlineLevel="1">
      <c r="A55" s="707">
        <f t="shared" si="0"/>
        <v>7</v>
      </c>
      <c r="C55" s="644">
        <v>42552</v>
      </c>
      <c r="D55" s="645">
        <v>4.1790000000000003</v>
      </c>
      <c r="E55" s="1194">
        <f>E43*(1+'CONE Calcs'!Inflation)</f>
        <v>0.2707861187500003</v>
      </c>
      <c r="F55" s="1195">
        <f t="shared" si="3"/>
        <v>4.4497861187500005</v>
      </c>
      <c r="G55" s="1196">
        <f t="shared" si="4"/>
        <v>56.751511521674232</v>
      </c>
      <c r="H55" s="703" t="s">
        <v>152</v>
      </c>
    </row>
    <row r="56" spans="1:8" s="641" customFormat="1" outlineLevel="1">
      <c r="A56" s="707">
        <f t="shared" si="0"/>
        <v>8</v>
      </c>
      <c r="C56" s="644">
        <v>42583</v>
      </c>
      <c r="D56" s="645">
        <v>4.1980000000000004</v>
      </c>
      <c r="E56" s="1194">
        <f>E44*(1+'CONE Calcs'!Inflation)</f>
        <v>0.2707861187500003</v>
      </c>
      <c r="F56" s="1195">
        <f t="shared" si="3"/>
        <v>4.4687861187500006</v>
      </c>
      <c r="G56" s="1196">
        <f t="shared" si="4"/>
        <v>56.776868603675943</v>
      </c>
      <c r="H56" s="703" t="s">
        <v>152</v>
      </c>
    </row>
    <row r="57" spans="1:8" s="641" customFormat="1" outlineLevel="1">
      <c r="A57" s="707">
        <f t="shared" si="0"/>
        <v>9</v>
      </c>
      <c r="C57" s="644">
        <v>42614</v>
      </c>
      <c r="D57" s="645">
        <v>4.1980000000000004</v>
      </c>
      <c r="E57" s="1194">
        <f>E45*(1+'CONE Calcs'!Inflation)</f>
        <v>-0.14532536875000024</v>
      </c>
      <c r="F57" s="1195">
        <f t="shared" si="3"/>
        <v>4.0526746312500004</v>
      </c>
      <c r="G57" s="1196">
        <f t="shared" si="4"/>
        <v>43.680247077089909</v>
      </c>
      <c r="H57" s="703" t="s">
        <v>152</v>
      </c>
    </row>
    <row r="58" spans="1:8" s="641" customFormat="1" outlineLevel="1">
      <c r="A58" s="707">
        <f t="shared" si="0"/>
        <v>10</v>
      </c>
      <c r="C58" s="644">
        <v>42644</v>
      </c>
      <c r="D58" s="645">
        <v>4.2249999999999996</v>
      </c>
      <c r="E58" s="1194">
        <f>E46*(1+'CONE Calcs'!Inflation)</f>
        <v>6.9486959140624929E-2</v>
      </c>
      <c r="F58" s="1195">
        <f t="shared" si="3"/>
        <v>4.2944869591406247</v>
      </c>
      <c r="G58" s="1196">
        <f t="shared" si="4"/>
        <v>45.288589055938601</v>
      </c>
      <c r="H58" s="703" t="s">
        <v>152</v>
      </c>
    </row>
    <row r="59" spans="1:8" s="641" customFormat="1" outlineLevel="1">
      <c r="A59" s="707">
        <f t="shared" si="0"/>
        <v>11</v>
      </c>
      <c r="C59" s="644">
        <v>42675</v>
      </c>
      <c r="D59" s="645">
        <v>4.3010000000000002</v>
      </c>
      <c r="E59" s="1194">
        <f>E47*(1+'CONE Calcs'!Inflation)</f>
        <v>1.2080040589062493</v>
      </c>
      <c r="F59" s="1195">
        <f t="shared" si="3"/>
        <v>5.5090040589062497</v>
      </c>
      <c r="G59" s="1196">
        <f t="shared" si="4"/>
        <v>53.704270495894335</v>
      </c>
      <c r="H59" s="703" t="s">
        <v>152</v>
      </c>
    </row>
    <row r="60" spans="1:8" s="641" customFormat="1" outlineLevel="1">
      <c r="A60" s="707">
        <f t="shared" si="0"/>
        <v>12</v>
      </c>
      <c r="C60" s="644">
        <v>42705</v>
      </c>
      <c r="D60" s="645">
        <v>4.4710000000000001</v>
      </c>
      <c r="E60" s="1194">
        <f>E48*(1+'CONE Calcs'!Inflation)</f>
        <v>4.8961580440624992</v>
      </c>
      <c r="F60" s="1195">
        <f t="shared" si="3"/>
        <v>9.3671580440624993</v>
      </c>
      <c r="G60" s="1196">
        <f t="shared" si="4"/>
        <v>83.200839546800694</v>
      </c>
      <c r="H60" s="703" t="s">
        <v>152</v>
      </c>
    </row>
    <row r="61" spans="1:8" s="641" customFormat="1" outlineLevel="1">
      <c r="A61" s="707">
        <f t="shared" si="0"/>
        <v>1</v>
      </c>
      <c r="C61" s="644">
        <v>42736</v>
      </c>
      <c r="D61" s="645">
        <v>4.5570000000000004</v>
      </c>
      <c r="E61" s="1194">
        <f>E49*(1+'CONE Calcs'!Inflation)</f>
        <v>8.5308605221874974</v>
      </c>
      <c r="F61" s="1195">
        <f t="shared" si="3"/>
        <v>13.087860522187498</v>
      </c>
      <c r="G61" s="1196">
        <f t="shared" si="4"/>
        <v>105.7948182602692</v>
      </c>
      <c r="H61" s="703" t="s">
        <v>152</v>
      </c>
    </row>
    <row r="62" spans="1:8" s="641" customFormat="1" outlineLevel="1">
      <c r="A62" s="707">
        <f t="shared" si="0"/>
        <v>2</v>
      </c>
      <c r="C62" s="644">
        <v>42767</v>
      </c>
      <c r="D62" s="645">
        <v>4.5359999999999996</v>
      </c>
      <c r="E62" s="1194">
        <f>E50*(1+'CONE Calcs'!Inflation)</f>
        <v>7.5152818885937496</v>
      </c>
      <c r="F62" s="1195">
        <f t="shared" si="3"/>
        <v>12.051281888593749</v>
      </c>
      <c r="G62" s="1196">
        <f t="shared" si="4"/>
        <v>105.84770203415827</v>
      </c>
      <c r="H62" s="703" t="s">
        <v>152</v>
      </c>
    </row>
    <row r="63" spans="1:8" s="641" customFormat="1" outlineLevel="1">
      <c r="A63" s="707">
        <f t="shared" si="0"/>
        <v>3</v>
      </c>
      <c r="C63" s="644">
        <v>42795</v>
      </c>
      <c r="D63" s="645">
        <v>4.4640000000000004</v>
      </c>
      <c r="E63" s="1194">
        <f>E51*(1+'CONE Calcs'!Inflation)</f>
        <v>2.0097766643750004</v>
      </c>
      <c r="F63" s="1195">
        <f t="shared" si="3"/>
        <v>6.4737766643750003</v>
      </c>
      <c r="G63" s="1196">
        <f t="shared" si="4"/>
        <v>62.103154998996594</v>
      </c>
      <c r="H63" s="703" t="s">
        <v>152</v>
      </c>
    </row>
    <row r="64" spans="1:8" s="641" customFormat="1" outlineLevel="1">
      <c r="A64" s="707">
        <f t="shared" si="0"/>
        <v>4</v>
      </c>
      <c r="C64" s="644">
        <v>42826</v>
      </c>
      <c r="D64" s="645">
        <v>4.2039999999999997</v>
      </c>
      <c r="E64" s="1194">
        <f>E52*(1+'CONE Calcs'!Inflation)</f>
        <v>0.29505231881249977</v>
      </c>
      <c r="F64" s="1195">
        <f t="shared" si="3"/>
        <v>4.4990523188124998</v>
      </c>
      <c r="G64" s="1196">
        <f t="shared" si="4"/>
        <v>45.950321016138332</v>
      </c>
      <c r="H64" s="703" t="s">
        <v>152</v>
      </c>
    </row>
    <row r="65" spans="1:13" s="641" customFormat="1" outlineLevel="1">
      <c r="A65" s="707">
        <f t="shared" si="0"/>
        <v>5</v>
      </c>
      <c r="C65" s="644">
        <v>42856</v>
      </c>
      <c r="D65" s="645">
        <v>4.218</v>
      </c>
      <c r="E65" s="1194">
        <f>E53*(1+'CONE Calcs'!Inflation)</f>
        <v>-0.20204669657812505</v>
      </c>
      <c r="F65" s="1195">
        <f t="shared" si="3"/>
        <v>4.0159533034218748</v>
      </c>
      <c r="G65" s="1196">
        <f t="shared" si="4"/>
        <v>44.340316168794935</v>
      </c>
      <c r="H65" s="703" t="s">
        <v>152</v>
      </c>
    </row>
    <row r="66" spans="1:13" s="641" customFormat="1" outlineLevel="1">
      <c r="A66" s="707">
        <f t="shared" si="0"/>
        <v>6</v>
      </c>
      <c r="C66" s="644">
        <v>42887</v>
      </c>
      <c r="D66" s="645">
        <v>4.2430000000000003</v>
      </c>
      <c r="E66" s="1194">
        <f>E54*(1+'CONE Calcs'!Inflation)</f>
        <v>0.26298141459375041</v>
      </c>
      <c r="F66" s="1195">
        <f t="shared" si="3"/>
        <v>4.5059814145937507</v>
      </c>
      <c r="G66" s="1196">
        <f t="shared" si="4"/>
        <v>48.410471499136136</v>
      </c>
      <c r="H66" s="703" t="s">
        <v>152</v>
      </c>
    </row>
    <row r="67" spans="1:13" s="641" customFormat="1" outlineLevel="1">
      <c r="A67" s="707">
        <f t="shared" si="0"/>
        <v>7</v>
      </c>
      <c r="C67" s="644">
        <v>42917</v>
      </c>
      <c r="D67" s="645">
        <v>4.2770000000000001</v>
      </c>
      <c r="E67" s="1194">
        <f>E55*(1+'CONE Calcs'!Inflation)</f>
        <v>0.27687880642187529</v>
      </c>
      <c r="F67" s="1195">
        <f t="shared" si="3"/>
        <v>4.5538788064218751</v>
      </c>
      <c r="G67" s="1196">
        <f t="shared" si="4"/>
        <v>58.079084849039432</v>
      </c>
      <c r="H67" s="703" t="s">
        <v>152</v>
      </c>
    </row>
    <row r="68" spans="1:13" s="641" customFormat="1" outlineLevel="1">
      <c r="A68" s="707">
        <f t="shared" si="0"/>
        <v>8</v>
      </c>
      <c r="C68" s="644">
        <v>42948</v>
      </c>
      <c r="D68" s="645">
        <v>4.2930000000000001</v>
      </c>
      <c r="E68" s="1194">
        <f>E56*(1+'CONE Calcs'!Inflation)</f>
        <v>0.27687880642187529</v>
      </c>
      <c r="F68" s="1195">
        <f t="shared" si="3"/>
        <v>4.5698788064218752</v>
      </c>
      <c r="G68" s="1196">
        <f t="shared" si="4"/>
        <v>58.061272487015962</v>
      </c>
      <c r="H68" s="703" t="s">
        <v>152</v>
      </c>
    </row>
    <row r="69" spans="1:13" s="641" customFormat="1" outlineLevel="1">
      <c r="A69" s="707">
        <f t="shared" si="0"/>
        <v>9</v>
      </c>
      <c r="C69" s="644">
        <v>42979</v>
      </c>
      <c r="D69" s="645">
        <v>4.2930000000000001</v>
      </c>
      <c r="E69" s="1194">
        <f>E57*(1+'CONE Calcs'!Inflation)</f>
        <v>-0.14859518954687523</v>
      </c>
      <c r="F69" s="1195">
        <f t="shared" si="3"/>
        <v>4.1444048104531248</v>
      </c>
      <c r="G69" s="1196">
        <f t="shared" si="4"/>
        <v>44.668926716240307</v>
      </c>
      <c r="H69" s="703" t="s">
        <v>152</v>
      </c>
    </row>
    <row r="70" spans="1:13" s="641" customFormat="1" outlineLevel="1">
      <c r="A70" s="707">
        <f t="shared" si="0"/>
        <v>10</v>
      </c>
      <c r="C70" s="644">
        <v>43009</v>
      </c>
      <c r="D70" s="645">
        <v>4.3250000000000002</v>
      </c>
      <c r="E70" s="1194">
        <f>E58*(1+'CONE Calcs'!Inflation)</f>
        <v>7.1050415721288993E-2</v>
      </c>
      <c r="F70" s="1195">
        <f t="shared" si="3"/>
        <v>4.3960504157212892</v>
      </c>
      <c r="G70" s="1196">
        <f t="shared" si="4"/>
        <v>46.359651954008932</v>
      </c>
      <c r="H70" s="703" t="s">
        <v>152</v>
      </c>
    </row>
    <row r="71" spans="1:13" s="641" customFormat="1" outlineLevel="1">
      <c r="A71" s="707">
        <f t="shared" si="0"/>
        <v>11</v>
      </c>
      <c r="C71" s="644">
        <v>43040</v>
      </c>
      <c r="D71" s="645">
        <v>4.415</v>
      </c>
      <c r="E71" s="1194">
        <f>E59*(1+'CONE Calcs'!Inflation)</f>
        <v>1.2351841502316399</v>
      </c>
      <c r="F71" s="1195">
        <f t="shared" si="3"/>
        <v>5.6501841502316399</v>
      </c>
      <c r="G71" s="1196">
        <f t="shared" si="4"/>
        <v>55.080558066588033</v>
      </c>
      <c r="H71" s="703" t="s">
        <v>152</v>
      </c>
    </row>
    <row r="72" spans="1:13" s="641" customFormat="1" outlineLevel="1">
      <c r="A72" s="707">
        <f t="shared" si="0"/>
        <v>12</v>
      </c>
      <c r="C72" s="644">
        <v>43070</v>
      </c>
      <c r="D72" s="645">
        <v>4.5979999999999999</v>
      </c>
      <c r="E72" s="1194">
        <f>E60*(1+'CONE Calcs'!Inflation)</f>
        <v>5.006321600053905</v>
      </c>
      <c r="F72" s="1195">
        <f t="shared" si="3"/>
        <v>9.604321600053904</v>
      </c>
      <c r="G72" s="1196">
        <f t="shared" si="4"/>
        <v>85.307370351082042</v>
      </c>
      <c r="H72" s="703" t="s">
        <v>152</v>
      </c>
    </row>
    <row r="73" spans="1:13" s="641" customFormat="1" outlineLevel="1">
      <c r="A73" s="707">
        <f t="shared" si="0"/>
        <v>1</v>
      </c>
      <c r="C73" s="644">
        <v>43101</v>
      </c>
      <c r="D73" s="645">
        <v>4.6929999999999996</v>
      </c>
      <c r="E73" s="1194">
        <f>E61*(1+'CONE Calcs'!Inflation)</f>
        <v>8.7228048839367158</v>
      </c>
      <c r="F73" s="1195">
        <f t="shared" si="3"/>
        <v>13.415804883936715</v>
      </c>
      <c r="G73" s="1196">
        <f t="shared" si="4"/>
        <v>108.44573390014183</v>
      </c>
      <c r="H73" s="703" t="s">
        <v>152</v>
      </c>
      <c r="I73" s="649"/>
    </row>
    <row r="74" spans="1:13" s="641" customFormat="1" outlineLevel="1">
      <c r="A74" s="707">
        <f t="shared" si="0"/>
        <v>2</v>
      </c>
      <c r="C74" s="644">
        <v>43132</v>
      </c>
      <c r="D74" s="645">
        <v>4.6719999999999997</v>
      </c>
      <c r="E74" s="1194">
        <f>E62*(1+'CONE Calcs'!Inflation)</f>
        <v>7.6843757310871084</v>
      </c>
      <c r="F74" s="1195">
        <f t="shared" si="3"/>
        <v>12.356375731087109</v>
      </c>
      <c r="G74" s="1196">
        <f t="shared" si="4"/>
        <v>108.52737399198199</v>
      </c>
      <c r="H74" s="703" t="s">
        <v>152</v>
      </c>
      <c r="I74" s="649"/>
    </row>
    <row r="75" spans="1:13" s="641" customFormat="1" outlineLevel="1">
      <c r="A75" s="707">
        <f t="shared" si="0"/>
        <v>3</v>
      </c>
      <c r="C75" s="644">
        <v>43160</v>
      </c>
      <c r="D75" s="645">
        <v>4.5999999999999996</v>
      </c>
      <c r="E75" s="1194">
        <f>E63*(1+'CONE Calcs'!Inflation)</f>
        <v>2.0549966393234378</v>
      </c>
      <c r="F75" s="1195">
        <f t="shared" si="3"/>
        <v>6.6549966393234374</v>
      </c>
      <c r="G75" s="1196">
        <f t="shared" si="4"/>
        <v>63.841604249967723</v>
      </c>
      <c r="H75" s="703" t="s">
        <v>152</v>
      </c>
      <c r="I75" s="649"/>
    </row>
    <row r="76" spans="1:13" s="641" customFormat="1" outlineLevel="1">
      <c r="A76" s="707">
        <f t="shared" si="0"/>
        <v>4</v>
      </c>
      <c r="C76" s="644">
        <v>43191</v>
      </c>
      <c r="D76" s="645">
        <v>4.32</v>
      </c>
      <c r="E76" s="1194">
        <f>E64*(1+'CONE Calcs'!Inflation)</f>
        <v>0.30169099598578103</v>
      </c>
      <c r="F76" s="1195">
        <f t="shared" si="3"/>
        <v>4.621690995985781</v>
      </c>
      <c r="G76" s="1196">
        <f t="shared" si="4"/>
        <v>47.202870705668118</v>
      </c>
      <c r="H76" s="703" t="s">
        <v>152</v>
      </c>
    </row>
    <row r="77" spans="1:13" s="641" customFormat="1" outlineLevel="1">
      <c r="A77" s="707">
        <f t="shared" si="0"/>
        <v>5</v>
      </c>
      <c r="C77" s="644">
        <v>43221</v>
      </c>
      <c r="D77" s="645">
        <v>4.335</v>
      </c>
      <c r="E77" s="1194">
        <f>E65*(1+'CONE Calcs'!Inflation)</f>
        <v>-0.20659274725113286</v>
      </c>
      <c r="F77" s="1195">
        <f t="shared" si="3"/>
        <v>4.1284072527488673</v>
      </c>
      <c r="G77" s="1196">
        <f t="shared" si="4"/>
        <v>45.581925144511821</v>
      </c>
      <c r="H77" s="703" t="s">
        <v>152</v>
      </c>
      <c r="I77" s="618"/>
      <c r="J77" s="618"/>
      <c r="L77" s="1200"/>
      <c r="M77" s="1200"/>
    </row>
    <row r="78" spans="1:13" s="641" customFormat="1">
      <c r="A78" s="707">
        <f t="shared" si="0"/>
        <v>6</v>
      </c>
      <c r="B78" s="1351" t="s">
        <v>894</v>
      </c>
      <c r="C78" s="644">
        <v>43252</v>
      </c>
      <c r="D78" s="645">
        <v>4.3600000000000003</v>
      </c>
      <c r="E78" s="1194">
        <f>E66*(1+'CONE Calcs'!Inflation)</f>
        <v>0.26889849642210978</v>
      </c>
      <c r="F78" s="1195">
        <f t="shared" si="3"/>
        <v>4.62889849642211</v>
      </c>
      <c r="G78" s="1196">
        <f t="shared" si="4"/>
        <v>49.731043720614167</v>
      </c>
      <c r="H78" s="703" t="s">
        <v>152</v>
      </c>
      <c r="I78" s="618"/>
      <c r="J78" s="618"/>
      <c r="L78" s="1200"/>
      <c r="M78" s="1200"/>
    </row>
    <row r="79" spans="1:13" s="641" customFormat="1">
      <c r="A79" s="707">
        <f t="shared" si="0"/>
        <v>7</v>
      </c>
      <c r="B79" s="1351"/>
      <c r="C79" s="644">
        <v>43282</v>
      </c>
      <c r="D79" s="645">
        <v>4.3949999999999996</v>
      </c>
      <c r="E79" s="1194">
        <f>E67*(1+'CONE Calcs'!Inflation)</f>
        <v>0.28310857956636748</v>
      </c>
      <c r="F79" s="1195">
        <f t="shared" si="3"/>
        <v>4.6781085795663673</v>
      </c>
      <c r="G79" s="1196">
        <f t="shared" si="4"/>
        <v>59.663481764710767</v>
      </c>
      <c r="H79" s="703" t="s">
        <v>152</v>
      </c>
      <c r="I79" s="618"/>
      <c r="L79" s="1200"/>
      <c r="M79" s="1200"/>
    </row>
    <row r="80" spans="1:13" s="641" customFormat="1">
      <c r="A80" s="707">
        <f t="shared" si="0"/>
        <v>8</v>
      </c>
      <c r="B80" s="1351"/>
      <c r="C80" s="644">
        <v>43313</v>
      </c>
      <c r="D80" s="645">
        <v>4.415</v>
      </c>
      <c r="E80" s="1194">
        <f>E68*(1+'CONE Calcs'!Inflation)</f>
        <v>0.28310857956636748</v>
      </c>
      <c r="F80" s="1195">
        <f t="shared" si="3"/>
        <v>4.6981085795663677</v>
      </c>
      <c r="G80" s="1196">
        <f t="shared" si="4"/>
        <v>59.690458755375687</v>
      </c>
      <c r="H80" s="703" t="s">
        <v>152</v>
      </c>
      <c r="I80" s="649"/>
      <c r="J80" s="646"/>
      <c r="L80" s="1200"/>
      <c r="M80" s="1200"/>
    </row>
    <row r="81" spans="1:12" s="641" customFormat="1">
      <c r="A81" s="707">
        <f t="shared" si="0"/>
        <v>9</v>
      </c>
      <c r="B81" s="1351"/>
      <c r="C81" s="644">
        <v>43344</v>
      </c>
      <c r="D81" s="645">
        <v>4.4160000000000004</v>
      </c>
      <c r="E81" s="1194">
        <f>E69*(1+'CONE Calcs'!Inflation)</f>
        <v>-0.15193858131167992</v>
      </c>
      <c r="F81" s="1195">
        <f t="shared" si="3"/>
        <v>4.2640614186883203</v>
      </c>
      <c r="G81" s="1196">
        <f t="shared" si="4"/>
        <v>45.958600990068646</v>
      </c>
      <c r="H81" s="703" t="s">
        <v>152</v>
      </c>
      <c r="I81" s="649"/>
    </row>
    <row r="82" spans="1:12" s="641" customFormat="1">
      <c r="A82" s="707">
        <f t="shared" si="0"/>
        <v>10</v>
      </c>
      <c r="B82" s="1351"/>
      <c r="C82" s="644">
        <v>43374</v>
      </c>
      <c r="D82" s="645">
        <v>4.4509999999999996</v>
      </c>
      <c r="E82" s="1194">
        <f>E70*(1+'CONE Calcs'!Inflation)</f>
        <v>7.2649050075017998E-2</v>
      </c>
      <c r="F82" s="1195">
        <f t="shared" si="3"/>
        <v>4.5236490500750177</v>
      </c>
      <c r="G82" s="1196">
        <f t="shared" si="4"/>
        <v>47.705275347519333</v>
      </c>
      <c r="H82" s="703" t="s">
        <v>152</v>
      </c>
      <c r="I82" s="649"/>
    </row>
    <row r="83" spans="1:12" s="641" customFormat="1">
      <c r="A83" s="707">
        <f t="shared" si="0"/>
        <v>11</v>
      </c>
      <c r="B83" s="1351"/>
      <c r="C83" s="644">
        <v>43405</v>
      </c>
      <c r="D83" s="645">
        <v>4.5620000000000003</v>
      </c>
      <c r="E83" s="1194">
        <f>E71*(1+'CONE Calcs'!Inflation)</f>
        <v>1.2629757936118517</v>
      </c>
      <c r="F83" s="1195">
        <f t="shared" si="3"/>
        <v>5.824975793611852</v>
      </c>
      <c r="G83" s="1196">
        <f t="shared" si="4"/>
        <v>56.784506293189359</v>
      </c>
      <c r="H83" s="703" t="s">
        <v>152</v>
      </c>
      <c r="I83" s="649"/>
    </row>
    <row r="84" spans="1:12" s="641" customFormat="1">
      <c r="A84" s="707">
        <f t="shared" si="0"/>
        <v>12</v>
      </c>
      <c r="B84" s="1351"/>
      <c r="C84" s="644">
        <v>43435</v>
      </c>
      <c r="D84" s="645">
        <v>4.7670000000000003</v>
      </c>
      <c r="E84" s="1194">
        <f>E72*(1+'CONE Calcs'!Inflation)</f>
        <v>5.1189638360551175</v>
      </c>
      <c r="F84" s="1195">
        <f t="shared" si="3"/>
        <v>9.8859638360551187</v>
      </c>
      <c r="G84" s="1196">
        <f t="shared" si="4"/>
        <v>87.808969061909025</v>
      </c>
      <c r="H84" s="703" t="s">
        <v>152</v>
      </c>
    </row>
    <row r="85" spans="1:12" s="641" customFormat="1">
      <c r="A85" s="707">
        <f t="shared" ref="A85:A108" si="5">MONTH(C85)</f>
        <v>1</v>
      </c>
      <c r="B85" s="1351"/>
      <c r="C85" s="644">
        <v>43466</v>
      </c>
      <c r="D85" s="645">
        <v>4.8860000000000001</v>
      </c>
      <c r="E85" s="1194">
        <f>E73*(1+'CONE Calcs'!Inflation)</f>
        <v>8.9190679938252924</v>
      </c>
      <c r="F85" s="1195">
        <f t="shared" si="3"/>
        <v>13.805067993825293</v>
      </c>
      <c r="G85" s="1196">
        <f t="shared" si="4"/>
        <v>111.59231541331386</v>
      </c>
      <c r="H85" s="703" t="s">
        <v>152</v>
      </c>
      <c r="I85" s="650"/>
      <c r="J85" s="651"/>
      <c r="K85" s="651"/>
      <c r="L85" s="651"/>
    </row>
    <row r="86" spans="1:12" s="641" customFormat="1">
      <c r="A86" s="707">
        <f t="shared" si="5"/>
        <v>2</v>
      </c>
      <c r="B86" s="1351"/>
      <c r="C86" s="644">
        <v>43497</v>
      </c>
      <c r="D86" s="645">
        <v>4.8650000000000002</v>
      </c>
      <c r="E86" s="1194">
        <f>E74*(1+'CONE Calcs'!Inflation)</f>
        <v>7.8572741850365677</v>
      </c>
      <c r="F86" s="1195">
        <f t="shared" si="3"/>
        <v>12.722274185036568</v>
      </c>
      <c r="G86" s="1196">
        <f t="shared" si="4"/>
        <v>111.74109937708464</v>
      </c>
      <c r="H86" s="703" t="s">
        <v>152</v>
      </c>
      <c r="I86" s="650"/>
      <c r="J86" s="651"/>
      <c r="K86" s="651"/>
      <c r="L86" s="651"/>
    </row>
    <row r="87" spans="1:12" s="641" customFormat="1">
      <c r="A87" s="707">
        <f t="shared" si="5"/>
        <v>3</v>
      </c>
      <c r="B87" s="1351"/>
      <c r="C87" s="644">
        <v>43525</v>
      </c>
      <c r="D87" s="645">
        <v>4.7930000000000001</v>
      </c>
      <c r="E87" s="1194">
        <f>E75*(1+'CONE Calcs'!Inflation)</f>
        <v>2.101234063708215</v>
      </c>
      <c r="F87" s="1195">
        <f t="shared" si="3"/>
        <v>6.8942340637082147</v>
      </c>
      <c r="G87" s="1196">
        <f t="shared" si="4"/>
        <v>66.136616824295217</v>
      </c>
      <c r="H87" s="703" t="s">
        <v>152</v>
      </c>
      <c r="I87" s="650"/>
      <c r="J87" s="651"/>
      <c r="K87" s="651"/>
      <c r="L87" s="651"/>
    </row>
    <row r="88" spans="1:12" s="641" customFormat="1">
      <c r="A88" s="707">
        <f t="shared" si="5"/>
        <v>4</v>
      </c>
      <c r="B88" s="1351"/>
      <c r="C88" s="644">
        <v>43556</v>
      </c>
      <c r="D88" s="645">
        <v>4.5279999999999996</v>
      </c>
      <c r="E88" s="1194">
        <f>E76*(1+'CONE Calcs'!Inflation)</f>
        <v>0.30847904339546112</v>
      </c>
      <c r="F88" s="1195">
        <f t="shared" si="3"/>
        <v>4.8364790433954603</v>
      </c>
      <c r="G88" s="1196">
        <f t="shared" si="4"/>
        <v>49.396572629878975</v>
      </c>
      <c r="H88" s="703" t="s">
        <v>152</v>
      </c>
      <c r="I88" s="650"/>
      <c r="J88" s="651"/>
      <c r="K88" s="651"/>
      <c r="L88" s="651"/>
    </row>
    <row r="89" spans="1:12" s="641" customFormat="1">
      <c r="A89" s="707">
        <f t="shared" si="5"/>
        <v>5</v>
      </c>
      <c r="B89" s="1351"/>
      <c r="C89" s="644">
        <v>43586</v>
      </c>
      <c r="D89" s="645">
        <v>4.548</v>
      </c>
      <c r="E89" s="1194">
        <f>E77*(1+'CONE Calcs'!Inflation)</f>
        <v>-0.21124108406428335</v>
      </c>
      <c r="F89" s="1195">
        <f t="shared" si="3"/>
        <v>4.3367589159357163</v>
      </c>
      <c r="G89" s="1196">
        <f t="shared" si="4"/>
        <v>47.882344975620761</v>
      </c>
      <c r="H89" s="703" t="s">
        <v>152</v>
      </c>
      <c r="I89" s="650"/>
      <c r="J89" s="651"/>
      <c r="K89" s="651"/>
      <c r="L89" s="651"/>
    </row>
    <row r="90" spans="1:12" s="641" customFormat="1">
      <c r="A90" s="707">
        <f t="shared" si="5"/>
        <v>6</v>
      </c>
      <c r="B90" s="1351" t="s">
        <v>895</v>
      </c>
      <c r="C90" s="644">
        <v>43617</v>
      </c>
      <c r="D90" s="645"/>
      <c r="E90" s="1194">
        <f>E78*(1+'CONE Calcs'!Inflation)</f>
        <v>0.27494871259160725</v>
      </c>
      <c r="F90" s="1195">
        <f t="shared" ref="F90:F113" si="6">D90+E90</f>
        <v>0.27494871259160725</v>
      </c>
      <c r="G90" s="1196">
        <f t="shared" si="4"/>
        <v>2.953939572749039</v>
      </c>
      <c r="H90" s="703" t="s">
        <v>152</v>
      </c>
    </row>
    <row r="91" spans="1:12" s="641" customFormat="1">
      <c r="A91" s="707">
        <f t="shared" si="5"/>
        <v>7</v>
      </c>
      <c r="B91" s="1351"/>
      <c r="C91" s="644">
        <v>43647</v>
      </c>
      <c r="D91" s="645"/>
      <c r="E91" s="1194">
        <f>E79*(1+'CONE Calcs'!Inflation)</f>
        <v>0.28947852260661072</v>
      </c>
      <c r="F91" s="1195">
        <f t="shared" si="6"/>
        <v>0.28947852260661072</v>
      </c>
      <c r="G91" s="1196">
        <f t="shared" si="4"/>
        <v>3.6919400781449752</v>
      </c>
      <c r="H91" s="703" t="s">
        <v>152</v>
      </c>
    </row>
    <row r="92" spans="1:12" s="641" customFormat="1">
      <c r="A92" s="707">
        <f t="shared" si="5"/>
        <v>8</v>
      </c>
      <c r="B92" s="1351"/>
      <c r="C92" s="644">
        <v>43678</v>
      </c>
      <c r="D92" s="645"/>
      <c r="E92" s="1194">
        <f>E80*(1+'CONE Calcs'!Inflation)</f>
        <v>0.28947852260661072</v>
      </c>
      <c r="F92" s="1195">
        <f t="shared" si="6"/>
        <v>0.28947852260661072</v>
      </c>
      <c r="G92" s="1196">
        <f t="shared" si="4"/>
        <v>3.6778855834387367</v>
      </c>
      <c r="H92" s="703" t="s">
        <v>152</v>
      </c>
    </row>
    <row r="93" spans="1:12" s="641" customFormat="1">
      <c r="A93" s="707">
        <f t="shared" si="5"/>
        <v>9</v>
      </c>
      <c r="B93" s="1351"/>
      <c r="C93" s="644">
        <v>43709</v>
      </c>
      <c r="D93" s="645"/>
      <c r="E93" s="1194">
        <f>E81*(1+'CONE Calcs'!Inflation)</f>
        <v>-0.15535719939119272</v>
      </c>
      <c r="F93" s="1195">
        <f t="shared" si="6"/>
        <v>-0.15535719939119272</v>
      </c>
      <c r="G93" s="1196">
        <f t="shared" si="4"/>
        <v>-1.6744598251942435</v>
      </c>
      <c r="H93" s="703" t="s">
        <v>152</v>
      </c>
    </row>
    <row r="94" spans="1:12" s="641" customFormat="1">
      <c r="A94" s="707">
        <f t="shared" si="5"/>
        <v>10</v>
      </c>
      <c r="B94" s="1351"/>
      <c r="C94" s="644">
        <v>43739</v>
      </c>
      <c r="D94" s="645"/>
      <c r="E94" s="1194">
        <f>E82*(1+'CONE Calcs'!Inflation)</f>
        <v>7.4283653701705907E-2</v>
      </c>
      <c r="F94" s="1195">
        <f t="shared" si="6"/>
        <v>7.4283653701705907E-2</v>
      </c>
      <c r="G94" s="1196">
        <f t="shared" si="4"/>
        <v>0.78337689649043107</v>
      </c>
      <c r="H94" s="703" t="s">
        <v>152</v>
      </c>
    </row>
    <row r="95" spans="1:12" s="641" customFormat="1">
      <c r="A95" s="707">
        <f t="shared" si="5"/>
        <v>11</v>
      </c>
      <c r="B95" s="1351"/>
      <c r="C95" s="644">
        <v>43770</v>
      </c>
      <c r="D95" s="645"/>
      <c r="E95" s="1194">
        <f>E83*(1+'CONE Calcs'!Inflation)</f>
        <v>1.2913927489681183</v>
      </c>
      <c r="F95" s="1195">
        <f t="shared" si="6"/>
        <v>1.2913927489681183</v>
      </c>
      <c r="G95" s="1196">
        <f t="shared" si="4"/>
        <v>12.589082303342813</v>
      </c>
      <c r="H95" s="703" t="s">
        <v>152</v>
      </c>
    </row>
    <row r="96" spans="1:12" s="641" customFormat="1">
      <c r="A96" s="707">
        <f t="shared" si="5"/>
        <v>12</v>
      </c>
      <c r="B96" s="1351"/>
      <c r="C96" s="644">
        <v>43800</v>
      </c>
      <c r="D96" s="645"/>
      <c r="E96" s="1194">
        <f>E84*(1+'CONE Calcs'!Inflation)</f>
        <v>5.2341405223663573</v>
      </c>
      <c r="F96" s="1195">
        <f t="shared" si="6"/>
        <v>5.2341405223663573</v>
      </c>
      <c r="G96" s="1196">
        <f t="shared" si="4"/>
        <v>46.490609394900609</v>
      </c>
      <c r="H96" s="703" t="s">
        <v>152</v>
      </c>
    </row>
    <row r="97" spans="1:13" s="641" customFormat="1">
      <c r="A97" s="707">
        <f t="shared" si="5"/>
        <v>1</v>
      </c>
      <c r="B97" s="1351"/>
      <c r="C97" s="644">
        <v>43831</v>
      </c>
      <c r="D97" s="645"/>
      <c r="E97" s="1194">
        <f>E85*(1+'CONE Calcs'!Inflation)</f>
        <v>9.1197470236863616</v>
      </c>
      <c r="F97" s="1195">
        <f t="shared" si="6"/>
        <v>9.1197470236863616</v>
      </c>
      <c r="G97" s="1196">
        <f t="shared" si="4"/>
        <v>73.718846354978552</v>
      </c>
      <c r="H97" s="703" t="s">
        <v>152</v>
      </c>
      <c r="I97" s="649"/>
    </row>
    <row r="98" spans="1:13" s="641" customFormat="1">
      <c r="A98" s="707">
        <f t="shared" si="5"/>
        <v>2</v>
      </c>
      <c r="B98" s="1351"/>
      <c r="C98" s="644">
        <v>43862</v>
      </c>
      <c r="D98" s="645"/>
      <c r="E98" s="1194">
        <f>E86*(1+'CONE Calcs'!Inflation)</f>
        <v>8.03406285419989</v>
      </c>
      <c r="F98" s="1195">
        <f t="shared" si="6"/>
        <v>8.03406285419989</v>
      </c>
      <c r="G98" s="1196">
        <f t="shared" si="4"/>
        <v>70.564036172775957</v>
      </c>
      <c r="H98" s="703" t="s">
        <v>152</v>
      </c>
      <c r="I98" s="649"/>
    </row>
    <row r="99" spans="1:13" s="641" customFormat="1">
      <c r="A99" s="707">
        <f t="shared" si="5"/>
        <v>3</v>
      </c>
      <c r="B99" s="1351"/>
      <c r="C99" s="644">
        <v>43891</v>
      </c>
      <c r="D99" s="645"/>
      <c r="E99" s="1194">
        <f>E87*(1+'CONE Calcs'!Inflation)</f>
        <v>2.1485118301416497</v>
      </c>
      <c r="F99" s="1195">
        <f t="shared" si="6"/>
        <v>2.1485118301416497</v>
      </c>
      <c r="G99" s="1196">
        <f t="shared" ref="G99:G113" si="7">F99*INDEX($H$22:$H$33,MATCH(A99,$A$22:$A$33,0))/10^3</f>
        <v>20.610745492460762</v>
      </c>
      <c r="H99" s="703" t="s">
        <v>152</v>
      </c>
      <c r="I99" s="649"/>
    </row>
    <row r="100" spans="1:13" s="641" customFormat="1">
      <c r="A100" s="707">
        <f t="shared" si="5"/>
        <v>4</v>
      </c>
      <c r="B100" s="1351"/>
      <c r="C100" s="644">
        <v>43922</v>
      </c>
      <c r="D100" s="645"/>
      <c r="E100" s="1194">
        <f>E88*(1+'CONE Calcs'!Inflation)</f>
        <v>0.31541982187185896</v>
      </c>
      <c r="F100" s="1195">
        <f t="shared" si="6"/>
        <v>0.31541982187185896</v>
      </c>
      <c r="G100" s="1196">
        <f t="shared" si="7"/>
        <v>3.2214877807179194</v>
      </c>
      <c r="H100" s="703" t="s">
        <v>152</v>
      </c>
    </row>
    <row r="101" spans="1:13" s="641" customFormat="1">
      <c r="A101" s="707">
        <f t="shared" si="5"/>
        <v>5</v>
      </c>
      <c r="B101" s="1351"/>
      <c r="C101" s="644">
        <v>43952</v>
      </c>
      <c r="D101" s="645"/>
      <c r="E101" s="1194">
        <f>E89*(1+'CONE Calcs'!Inflation)</f>
        <v>-0.21599400845572972</v>
      </c>
      <c r="F101" s="1195">
        <f t="shared" si="6"/>
        <v>-0.21599400845572972</v>
      </c>
      <c r="G101" s="1196">
        <f t="shared" si="7"/>
        <v>-2.3847992996661431</v>
      </c>
      <c r="H101" s="703" t="s">
        <v>152</v>
      </c>
      <c r="I101" s="618"/>
      <c r="J101" s="618"/>
      <c r="L101" s="1200"/>
      <c r="M101" s="1200"/>
    </row>
    <row r="102" spans="1:13" s="641" customFormat="1">
      <c r="A102" s="707">
        <f t="shared" si="5"/>
        <v>6</v>
      </c>
      <c r="B102" s="1351" t="s">
        <v>896</v>
      </c>
      <c r="C102" s="644">
        <v>43983</v>
      </c>
      <c r="D102" s="645"/>
      <c r="E102" s="1194">
        <f>E90*(1+'CONE Calcs'!Inflation)</f>
        <v>0.28113505862491839</v>
      </c>
      <c r="F102" s="1195">
        <f t="shared" si="6"/>
        <v>0.28113505862491839</v>
      </c>
      <c r="G102" s="1196">
        <f t="shared" si="7"/>
        <v>3.0204032131358924</v>
      </c>
      <c r="H102" s="703" t="s">
        <v>152</v>
      </c>
      <c r="I102" s="618"/>
      <c r="J102" s="618"/>
      <c r="L102" s="1200"/>
      <c r="M102" s="1200"/>
    </row>
    <row r="103" spans="1:13" s="641" customFormat="1">
      <c r="A103" s="707">
        <f t="shared" si="5"/>
        <v>7</v>
      </c>
      <c r="B103" s="1351"/>
      <c r="C103" s="644">
        <v>44013</v>
      </c>
      <c r="D103" s="645"/>
      <c r="E103" s="1194">
        <f>E91*(1+'CONE Calcs'!Inflation)</f>
        <v>0.29599178936525944</v>
      </c>
      <c r="F103" s="1195">
        <f t="shared" si="6"/>
        <v>0.29599178936525944</v>
      </c>
      <c r="G103" s="1196">
        <f t="shared" si="7"/>
        <v>3.7750087299032371</v>
      </c>
      <c r="H103" s="703" t="s">
        <v>152</v>
      </c>
      <c r="I103" s="618"/>
      <c r="L103" s="1200"/>
      <c r="M103" s="1200"/>
    </row>
    <row r="104" spans="1:13" s="641" customFormat="1">
      <c r="A104" s="707">
        <f t="shared" si="5"/>
        <v>8</v>
      </c>
      <c r="B104" s="1351"/>
      <c r="C104" s="644">
        <v>44044</v>
      </c>
      <c r="D104" s="645"/>
      <c r="E104" s="1194">
        <f>E92*(1+'CONE Calcs'!Inflation)</f>
        <v>0.29599178936525944</v>
      </c>
      <c r="F104" s="1195">
        <f t="shared" si="6"/>
        <v>0.29599178936525944</v>
      </c>
      <c r="G104" s="1196">
        <f t="shared" si="7"/>
        <v>3.760638009066108</v>
      </c>
      <c r="H104" s="703" t="s">
        <v>152</v>
      </c>
      <c r="I104" s="649"/>
      <c r="J104" s="646"/>
      <c r="L104" s="1200"/>
      <c r="M104" s="1200"/>
    </row>
    <row r="105" spans="1:13" s="641" customFormat="1">
      <c r="A105" s="707">
        <f t="shared" si="5"/>
        <v>9</v>
      </c>
      <c r="B105" s="1351"/>
      <c r="C105" s="644">
        <v>44075</v>
      </c>
      <c r="D105" s="645"/>
      <c r="E105" s="1194">
        <f>E93*(1+'CONE Calcs'!Inflation)</f>
        <v>-0.15885273637749456</v>
      </c>
      <c r="F105" s="1195">
        <f t="shared" si="6"/>
        <v>-0.15885273637749456</v>
      </c>
      <c r="G105" s="1196">
        <f t="shared" si="7"/>
        <v>-1.7121351712611139</v>
      </c>
      <c r="H105" s="703" t="s">
        <v>152</v>
      </c>
      <c r="I105" s="649"/>
    </row>
    <row r="106" spans="1:13" s="641" customFormat="1">
      <c r="A106" s="707">
        <f t="shared" si="5"/>
        <v>10</v>
      </c>
      <c r="B106" s="1351"/>
      <c r="C106" s="644">
        <v>44105</v>
      </c>
      <c r="D106" s="645"/>
      <c r="E106" s="1194">
        <f>E94*(1+'CONE Calcs'!Inflation)</f>
        <v>7.5955035909994292E-2</v>
      </c>
      <c r="F106" s="1195">
        <f t="shared" si="6"/>
        <v>7.5955035909994292E-2</v>
      </c>
      <c r="G106" s="1196">
        <f t="shared" si="7"/>
        <v>0.80100287666146586</v>
      </c>
      <c r="H106" s="703" t="s">
        <v>152</v>
      </c>
      <c r="I106" s="649"/>
    </row>
    <row r="107" spans="1:13" s="641" customFormat="1">
      <c r="A107" s="707">
        <f t="shared" si="5"/>
        <v>11</v>
      </c>
      <c r="B107" s="1351"/>
      <c r="C107" s="644">
        <v>44136</v>
      </c>
      <c r="D107" s="645"/>
      <c r="E107" s="1194">
        <f>E95*(1+'CONE Calcs'!Inflation)</f>
        <v>1.3204490858199009</v>
      </c>
      <c r="F107" s="1195">
        <f t="shared" si="6"/>
        <v>1.3204490858199009</v>
      </c>
      <c r="G107" s="1196">
        <f t="shared" si="7"/>
        <v>12.872336655168027</v>
      </c>
      <c r="H107" s="703" t="s">
        <v>152</v>
      </c>
      <c r="I107" s="649"/>
    </row>
    <row r="108" spans="1:13" s="641" customFormat="1">
      <c r="A108" s="707">
        <f t="shared" si="5"/>
        <v>12</v>
      </c>
      <c r="B108" s="1351"/>
      <c r="C108" s="644">
        <v>44166</v>
      </c>
      <c r="D108" s="645"/>
      <c r="E108" s="1194">
        <f>E96*(1+'CONE Calcs'!Inflation)</f>
        <v>5.3519086841196</v>
      </c>
      <c r="F108" s="1195">
        <f t="shared" si="6"/>
        <v>5.3519086841196</v>
      </c>
      <c r="G108" s="1196">
        <f t="shared" si="7"/>
        <v>47.536648106285874</v>
      </c>
      <c r="H108" s="703" t="s">
        <v>152</v>
      </c>
    </row>
    <row r="109" spans="1:13" s="641" customFormat="1">
      <c r="A109" s="707">
        <f>MONTH(C109)</f>
        <v>1</v>
      </c>
      <c r="B109" s="1351"/>
      <c r="C109" s="644">
        <v>44197</v>
      </c>
      <c r="D109" s="645"/>
      <c r="E109" s="1194">
        <f>E97*(1+'CONE Calcs'!Inflation)</f>
        <v>9.3249413317193053</v>
      </c>
      <c r="F109" s="1195">
        <f t="shared" si="6"/>
        <v>9.3249413317193053</v>
      </c>
      <c r="G109" s="1196">
        <f t="shared" si="7"/>
        <v>75.377520397965583</v>
      </c>
      <c r="H109" s="703" t="s">
        <v>152</v>
      </c>
      <c r="I109" s="650"/>
      <c r="J109" s="651"/>
      <c r="K109" s="651"/>
      <c r="L109" s="651"/>
    </row>
    <row r="110" spans="1:13" s="641" customFormat="1">
      <c r="A110" s="707">
        <f>MONTH(C110)</f>
        <v>2</v>
      </c>
      <c r="B110" s="1351"/>
      <c r="C110" s="644">
        <v>44228</v>
      </c>
      <c r="D110" s="645"/>
      <c r="E110" s="1194">
        <f>E98*(1+'CONE Calcs'!Inflation)</f>
        <v>8.214829268419388</v>
      </c>
      <c r="F110" s="1195">
        <f t="shared" si="6"/>
        <v>8.214829268419388</v>
      </c>
      <c r="G110" s="1196">
        <f t="shared" si="7"/>
        <v>72.151726986663434</v>
      </c>
      <c r="H110" s="703" t="s">
        <v>152</v>
      </c>
      <c r="I110" s="650"/>
      <c r="J110" s="651"/>
      <c r="K110" s="651"/>
      <c r="L110" s="651"/>
    </row>
    <row r="111" spans="1:13" s="641" customFormat="1">
      <c r="A111" s="707">
        <f>MONTH(C111)</f>
        <v>3</v>
      </c>
      <c r="B111" s="1351"/>
      <c r="C111" s="644">
        <v>44256</v>
      </c>
      <c r="D111" s="645"/>
      <c r="E111" s="1194">
        <f>E99*(1+'CONE Calcs'!Inflation)</f>
        <v>2.1968533463198368</v>
      </c>
      <c r="F111" s="1195">
        <f t="shared" si="6"/>
        <v>2.1968533463198368</v>
      </c>
      <c r="G111" s="1196">
        <f t="shared" si="7"/>
        <v>21.074487266041132</v>
      </c>
      <c r="H111" s="703" t="s">
        <v>152</v>
      </c>
      <c r="I111" s="650"/>
      <c r="J111" s="651"/>
      <c r="K111" s="651"/>
      <c r="L111" s="651"/>
    </row>
    <row r="112" spans="1:13" s="641" customFormat="1">
      <c r="A112" s="707">
        <f>MONTH(C112)</f>
        <v>4</v>
      </c>
      <c r="B112" s="1351"/>
      <c r="C112" s="644">
        <v>44287</v>
      </c>
      <c r="D112" s="645"/>
      <c r="E112" s="1194">
        <f>E100*(1+'CONE Calcs'!Inflation)</f>
        <v>0.32251676786397576</v>
      </c>
      <c r="F112" s="1195">
        <f t="shared" si="6"/>
        <v>0.32251676786397576</v>
      </c>
      <c r="G112" s="1196">
        <f t="shared" si="7"/>
        <v>3.2939712557840726</v>
      </c>
      <c r="H112" s="703" t="s">
        <v>152</v>
      </c>
      <c r="I112" s="650"/>
      <c r="J112" s="651"/>
      <c r="K112" s="651"/>
      <c r="L112" s="651"/>
    </row>
    <row r="113" spans="1:12" s="641" customFormat="1">
      <c r="A113" s="707">
        <f>MONTH(C113)</f>
        <v>5</v>
      </c>
      <c r="B113" s="1351"/>
      <c r="C113" s="644">
        <v>44317</v>
      </c>
      <c r="D113" s="645"/>
      <c r="E113" s="1194">
        <f>E101*(1+'CONE Calcs'!Inflation)</f>
        <v>-0.22085387364598363</v>
      </c>
      <c r="F113" s="1195">
        <f t="shared" si="6"/>
        <v>-0.22085387364598363</v>
      </c>
      <c r="G113" s="1196">
        <f t="shared" si="7"/>
        <v>-2.4384572839086314</v>
      </c>
      <c r="H113" s="703" t="s">
        <v>152</v>
      </c>
      <c r="I113" s="650"/>
      <c r="J113" s="651"/>
      <c r="K113" s="651"/>
      <c r="L113" s="651"/>
    </row>
    <row r="114" spans="1:12" ht="4.5" customHeight="1" thickBot="1">
      <c r="C114" s="633"/>
      <c r="D114" s="633"/>
      <c r="E114" s="633"/>
      <c r="F114" s="652"/>
      <c r="G114" s="633"/>
      <c r="H114" s="633"/>
    </row>
    <row r="115" spans="1:12" ht="4.5" customHeight="1" thickTop="1"/>
    <row r="116" spans="1:12">
      <c r="C116" s="619" t="s">
        <v>93</v>
      </c>
    </row>
    <row r="117" spans="1:12">
      <c r="C117" s="655" t="str">
        <f>"["&amp;C17&amp;"]:"</f>
        <v>[1]:</v>
      </c>
      <c r="D117" s="619" t="s">
        <v>424</v>
      </c>
    </row>
    <row r="118" spans="1:12">
      <c r="C118" s="655" t="str">
        <f>"["&amp;D17&amp;"]:"</f>
        <v>[2]:</v>
      </c>
      <c r="D118" s="619" t="s">
        <v>888</v>
      </c>
    </row>
    <row r="119" spans="1:12">
      <c r="C119" s="655" t="str">
        <f>"["&amp;F17&amp;"]:"</f>
        <v>[4]:</v>
      </c>
      <c r="D119" s="619" t="str">
        <f>"First 12 months are provided by SNL. Once italics begin after Sep-14, future is predicted by ["&amp;D17&amp;"] + ["&amp;E17&amp;"]"</f>
        <v>First 12 months are provided by SNL. Once italics begin after Sep-14, future is predicted by [2] + [3]</v>
      </c>
    </row>
    <row r="120" spans="1:12">
      <c r="C120" s="655" t="str">
        <f>"["&amp;E17&amp;"]:"</f>
        <v>[3]:</v>
      </c>
      <c r="D120" s="619" t="str">
        <f>"Adder is ["&amp;D17&amp;"] - ["&amp;F17&amp;"] for first 12 months. Once italics begin after Sep-14, adder is calculated as adder from respective month from first 12 months inflated at 2.25% annually"</f>
        <v>Adder is [2] - [4] for first 12 months. Once italics begin after Sep-14, adder is calculated as adder from respective month from first 12 months inflated at 2.25% annually</v>
      </c>
    </row>
    <row r="121" spans="1:12">
      <c r="C121" s="655" t="str">
        <f>"["&amp;G17&amp;"]:"</f>
        <v>[5]:</v>
      </c>
      <c r="D121" s="619" t="str">
        <f>"First 12 months are provided by SNL. Once italics begin after Sep-14, future is predicted by ["&amp;H17&amp;"] * ["&amp;F17&amp;"]"</f>
        <v>First 12 months are provided by SNL. Once italics begin after Sep-14, future is predicted by [6] * [4]</v>
      </c>
    </row>
    <row r="122" spans="1:12">
      <c r="C122" s="655" t="str">
        <f>"["&amp;H17&amp;"]:"</f>
        <v>[6]:</v>
      </c>
      <c r="D122" s="619" t="str">
        <f>"(["&amp;G17&amp;"] / ["&amp;F17&amp;"]) * 1000"</f>
        <v>([5] / [4]) * 1000</v>
      </c>
    </row>
  </sheetData>
  <mergeCells count="3">
    <mergeCell ref="B78:B89"/>
    <mergeCell ref="B90:B101"/>
    <mergeCell ref="B102:B1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sheetPr>
    <tabColor theme="9"/>
  </sheetPr>
  <dimension ref="A1:C56"/>
  <sheetViews>
    <sheetView zoomScaleNormal="100" workbookViewId="0">
      <selection activeCell="B2" sqref="B2"/>
    </sheetView>
  </sheetViews>
  <sheetFormatPr defaultRowHeight="12.75"/>
  <cols>
    <col min="1" max="1" width="9.85546875" style="686" bestFit="1" customWidth="1"/>
    <col min="2" max="2" width="18.42578125" style="687" customWidth="1"/>
    <col min="3" max="3" width="22.7109375" style="687" customWidth="1"/>
    <col min="4" max="9" width="8.7109375" style="686" bestFit="1" customWidth="1"/>
    <col min="10" max="12" width="9.7109375" style="686" bestFit="1" customWidth="1"/>
    <col min="13" max="21" width="8.7109375" style="686" bestFit="1" customWidth="1"/>
    <col min="22" max="24" width="9.7109375" style="686" bestFit="1" customWidth="1"/>
    <col min="25" max="33" width="8.7109375" style="686" bestFit="1" customWidth="1"/>
    <col min="34" max="36" width="9.7109375" style="686" bestFit="1" customWidth="1"/>
    <col min="37" max="16384" width="9.140625" style="686"/>
  </cols>
  <sheetData>
    <row r="1" spans="1:3">
      <c r="A1" s="126" t="s">
        <v>91</v>
      </c>
      <c r="B1" s="126" t="str">
        <f>'ORTP Summary'!C1</f>
        <v>ISO-NE ORTP 2013 Study</v>
      </c>
    </row>
    <row r="2" spans="1:3">
      <c r="A2" s="126" t="s">
        <v>92</v>
      </c>
      <c r="B2" s="140" t="s">
        <v>113</v>
      </c>
    </row>
    <row r="3" spans="1:3">
      <c r="A3" s="126" t="s">
        <v>114</v>
      </c>
      <c r="B3" s="95" t="s">
        <v>433</v>
      </c>
    </row>
    <row r="4" spans="1:3" ht="15.75">
      <c r="C4" s="688"/>
    </row>
    <row r="5" spans="1:3" ht="15.75">
      <c r="B5" s="689" t="s">
        <v>420</v>
      </c>
      <c r="C5" s="690"/>
    </row>
    <row r="6" spans="1:3" ht="5.25" customHeight="1" thickBot="1">
      <c r="B6" s="691"/>
      <c r="C6" s="691"/>
    </row>
    <row r="7" spans="1:3" ht="6.75" customHeight="1" thickTop="1"/>
    <row r="8" spans="1:3" ht="38.25">
      <c r="B8" s="1106" t="s">
        <v>416</v>
      </c>
      <c r="C8" s="708" t="s">
        <v>443</v>
      </c>
    </row>
    <row r="9" spans="1:3" ht="3.75" customHeight="1">
      <c r="B9" s="692"/>
      <c r="C9" s="692"/>
    </row>
    <row r="10" spans="1:3" ht="6" customHeight="1"/>
    <row r="11" spans="1:3" s="695" customFormat="1">
      <c r="A11" s="686"/>
      <c r="B11" s="693">
        <v>40179</v>
      </c>
      <c r="C11" s="694">
        <v>67.123968750000074</v>
      </c>
    </row>
    <row r="12" spans="1:3" s="695" customFormat="1">
      <c r="A12" s="686"/>
      <c r="B12" s="693">
        <v>40210</v>
      </c>
      <c r="C12" s="694">
        <v>57.414968749999979</v>
      </c>
    </row>
    <row r="13" spans="1:3" s="695" customFormat="1">
      <c r="A13" s="686"/>
      <c r="B13" s="693">
        <v>40238</v>
      </c>
      <c r="C13" s="694">
        <v>41.993532608695638</v>
      </c>
    </row>
    <row r="14" spans="1:3" s="695" customFormat="1">
      <c r="A14" s="686"/>
      <c r="B14" s="693">
        <v>40269</v>
      </c>
      <c r="C14" s="694">
        <v>41.917869318181822</v>
      </c>
    </row>
    <row r="15" spans="1:3" s="695" customFormat="1">
      <c r="A15" s="686"/>
      <c r="B15" s="693">
        <v>40299</v>
      </c>
      <c r="C15" s="694">
        <v>50.701750000000018</v>
      </c>
    </row>
    <row r="16" spans="1:3" s="695" customFormat="1">
      <c r="A16" s="686"/>
      <c r="B16" s="693">
        <v>40330</v>
      </c>
      <c r="C16" s="694">
        <v>55.856164772727247</v>
      </c>
    </row>
    <row r="17" spans="1:3" s="695" customFormat="1">
      <c r="A17" s="686"/>
      <c r="B17" s="693">
        <v>40360</v>
      </c>
      <c r="C17" s="694">
        <v>78.244285714285709</v>
      </c>
    </row>
    <row r="18" spans="1:3" s="695" customFormat="1">
      <c r="A18" s="686"/>
      <c r="B18" s="693">
        <v>40391</v>
      </c>
      <c r="C18" s="694">
        <v>66.658835227272704</v>
      </c>
    </row>
    <row r="19" spans="1:3" s="695" customFormat="1">
      <c r="A19" s="686"/>
      <c r="B19" s="693">
        <v>40422</v>
      </c>
      <c r="C19" s="694">
        <v>53.935833333333321</v>
      </c>
    </row>
    <row r="20" spans="1:3" s="695" customFormat="1">
      <c r="A20" s="686"/>
      <c r="B20" s="693">
        <v>40452</v>
      </c>
      <c r="C20" s="694">
        <v>40.945505952380955</v>
      </c>
    </row>
    <row r="21" spans="1:3" s="695" customFormat="1">
      <c r="A21" s="686"/>
      <c r="B21" s="693">
        <v>40483</v>
      </c>
      <c r="C21" s="694">
        <v>48.280238095238062</v>
      </c>
    </row>
    <row r="22" spans="1:3" s="695" customFormat="1">
      <c r="A22" s="686"/>
      <c r="B22" s="693">
        <v>40513</v>
      </c>
      <c r="C22" s="694">
        <v>73.17258152173909</v>
      </c>
    </row>
    <row r="23" spans="1:3" s="695" customFormat="1">
      <c r="A23" s="686"/>
      <c r="B23" s="693">
        <v>40544</v>
      </c>
      <c r="C23" s="694">
        <v>78.56761904761909</v>
      </c>
    </row>
    <row r="24" spans="1:3" s="695" customFormat="1">
      <c r="A24" s="686"/>
      <c r="B24" s="693">
        <v>40575</v>
      </c>
      <c r="C24" s="694">
        <v>64.185781249999977</v>
      </c>
    </row>
    <row r="25" spans="1:3" s="695" customFormat="1">
      <c r="A25" s="686"/>
      <c r="B25" s="693">
        <v>40603</v>
      </c>
      <c r="C25" s="694">
        <v>52.265978260869538</v>
      </c>
    </row>
    <row r="26" spans="1:3" s="695" customFormat="1">
      <c r="A26" s="686"/>
      <c r="B26" s="693">
        <v>40634</v>
      </c>
      <c r="C26" s="694">
        <v>48.260148809523805</v>
      </c>
    </row>
    <row r="27" spans="1:3" s="695" customFormat="1">
      <c r="A27" s="686"/>
      <c r="B27" s="693">
        <v>40664</v>
      </c>
      <c r="C27" s="694">
        <v>48.202738095238089</v>
      </c>
    </row>
    <row r="28" spans="1:3" s="695" customFormat="1">
      <c r="A28" s="686"/>
      <c r="B28" s="693">
        <v>40695</v>
      </c>
      <c r="C28" s="694">
        <v>51.438068181818196</v>
      </c>
    </row>
    <row r="29" spans="1:3" s="695" customFormat="1">
      <c r="A29" s="686"/>
      <c r="B29" s="693">
        <v>40725</v>
      </c>
      <c r="C29" s="694">
        <v>71.631281250000001</v>
      </c>
    </row>
    <row r="30" spans="1:3" s="695" customFormat="1">
      <c r="A30" s="686"/>
      <c r="B30" s="693">
        <v>40756</v>
      </c>
      <c r="C30" s="694">
        <v>49.298342391304359</v>
      </c>
    </row>
    <row r="31" spans="1:3" s="695" customFormat="1">
      <c r="A31" s="686"/>
      <c r="B31" s="693">
        <v>40787</v>
      </c>
      <c r="C31" s="694">
        <v>45.796696428571423</v>
      </c>
    </row>
    <row r="32" spans="1:3" s="695" customFormat="1">
      <c r="A32" s="686"/>
      <c r="B32" s="693">
        <v>40817</v>
      </c>
      <c r="C32" s="694">
        <v>46.325535714285721</v>
      </c>
    </row>
    <row r="33" spans="1:3" s="695" customFormat="1">
      <c r="A33" s="686"/>
      <c r="B33" s="693">
        <v>40848</v>
      </c>
      <c r="C33" s="694">
        <v>40.098660714285714</v>
      </c>
    </row>
    <row r="34" spans="1:3" s="695" customFormat="1">
      <c r="A34" s="686"/>
      <c r="B34" s="693">
        <v>40878</v>
      </c>
      <c r="C34" s="694">
        <v>39.908392857142836</v>
      </c>
    </row>
    <row r="35" spans="1:3" s="695" customFormat="1">
      <c r="A35" s="686"/>
      <c r="B35" s="693">
        <v>40909</v>
      </c>
      <c r="C35" s="694">
        <v>44.846755952380953</v>
      </c>
    </row>
    <row r="36" spans="1:3" s="695" customFormat="1">
      <c r="A36" s="686"/>
      <c r="B36" s="693">
        <v>40940</v>
      </c>
      <c r="C36" s="694">
        <v>32.805327380952413</v>
      </c>
    </row>
    <row r="37" spans="1:3" s="695" customFormat="1">
      <c r="A37" s="686"/>
      <c r="B37" s="693">
        <v>40969</v>
      </c>
      <c r="C37" s="694">
        <v>28.990369318181799</v>
      </c>
    </row>
    <row r="38" spans="1:3" s="695" customFormat="1">
      <c r="A38" s="686"/>
      <c r="B38" s="693">
        <v>41000</v>
      </c>
      <c r="C38" s="694">
        <v>29.55217261904761</v>
      </c>
    </row>
    <row r="39" spans="1:3" s="695" customFormat="1">
      <c r="A39" s="686"/>
      <c r="B39" s="693">
        <v>41030</v>
      </c>
      <c r="C39" s="694">
        <v>29.865994318181844</v>
      </c>
    </row>
    <row r="40" spans="1:3" s="695" customFormat="1">
      <c r="A40" s="686"/>
      <c r="B40" s="693">
        <v>41061</v>
      </c>
      <c r="C40" s="694">
        <v>46.257142857142838</v>
      </c>
    </row>
    <row r="41" spans="1:3" s="695" customFormat="1">
      <c r="A41" s="686"/>
      <c r="B41" s="693">
        <v>41091</v>
      </c>
      <c r="C41" s="694">
        <v>52.047023809523829</v>
      </c>
    </row>
    <row r="42" spans="1:3" s="695" customFormat="1">
      <c r="A42" s="686"/>
      <c r="B42" s="693">
        <v>41122</v>
      </c>
      <c r="C42" s="694">
        <v>47.1351086956522</v>
      </c>
    </row>
    <row r="43" spans="1:3" s="695" customFormat="1">
      <c r="A43" s="686"/>
      <c r="B43" s="693">
        <v>41153</v>
      </c>
      <c r="C43" s="694">
        <v>37.148355263157875</v>
      </c>
    </row>
    <row r="44" spans="1:3" s="695" customFormat="1">
      <c r="A44" s="686"/>
      <c r="B44" s="693">
        <v>41183</v>
      </c>
      <c r="C44" s="694">
        <v>38.812880434782592</v>
      </c>
    </row>
    <row r="45" spans="1:3" s="695" customFormat="1">
      <c r="A45" s="686"/>
      <c r="B45" s="693">
        <v>41214</v>
      </c>
      <c r="C45" s="694">
        <v>62.727619047619015</v>
      </c>
    </row>
    <row r="46" spans="1:3" s="695" customFormat="1">
      <c r="A46" s="686"/>
      <c r="B46" s="693">
        <v>41244</v>
      </c>
      <c r="C46" s="694">
        <v>49.791468750000007</v>
      </c>
    </row>
    <row r="47" spans="1:3" s="695" customFormat="1">
      <c r="A47" s="686"/>
      <c r="B47" s="693">
        <v>41275</v>
      </c>
      <c r="C47" s="694">
        <v>94.792698863636318</v>
      </c>
    </row>
    <row r="48" spans="1:3" s="695" customFormat="1">
      <c r="A48" s="686"/>
      <c r="B48" s="693">
        <v>41306</v>
      </c>
      <c r="C48" s="694">
        <v>135.2853750000001</v>
      </c>
    </row>
    <row r="49" spans="1:3" s="695" customFormat="1">
      <c r="A49" s="686"/>
      <c r="B49" s="693">
        <v>41334</v>
      </c>
      <c r="C49" s="694">
        <v>61.412916666666661</v>
      </c>
    </row>
    <row r="50" spans="1:3" s="695" customFormat="1">
      <c r="A50" s="686"/>
      <c r="B50" s="693">
        <v>41365</v>
      </c>
      <c r="C50" s="694">
        <v>47.619346590909089</v>
      </c>
    </row>
    <row r="51" spans="1:3" s="695" customFormat="1">
      <c r="A51" s="686"/>
      <c r="B51" s="693">
        <v>41395</v>
      </c>
      <c r="C51" s="694">
        <v>47.361335227272754</v>
      </c>
    </row>
    <row r="52" spans="1:3" s="695" customFormat="1">
      <c r="A52" s="686"/>
      <c r="B52" s="693">
        <v>41426</v>
      </c>
      <c r="C52" s="694">
        <v>42.402187499999961</v>
      </c>
    </row>
    <row r="53" spans="1:3" s="695" customFormat="1">
      <c r="A53" s="686"/>
      <c r="B53" s="693">
        <v>41456</v>
      </c>
      <c r="C53" s="694">
        <v>50.744999999999997</v>
      </c>
    </row>
    <row r="54" spans="1:3" ht="4.5" customHeight="1" thickBot="1">
      <c r="B54" s="691"/>
      <c r="C54" s="691"/>
    </row>
    <row r="55" spans="1:3" ht="6" customHeight="1" thickTop="1"/>
    <row r="56" spans="1:3" ht="48" customHeight="1">
      <c r="B56" s="1352" t="s">
        <v>421</v>
      </c>
      <c r="C56" s="1353"/>
    </row>
  </sheetData>
  <mergeCells count="1">
    <mergeCell ref="B56:C56"/>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tabColor theme="7"/>
  </sheetPr>
  <dimension ref="A1"/>
  <sheetViews>
    <sheetView workbookViewId="0">
      <selection activeCell="D13" sqref="D13"/>
    </sheetView>
  </sheetViews>
  <sheetFormatPr defaultRowHeight="12.75"/>
  <sheetData/>
  <pageMargins left="0.7" right="0.7" top="0.75" bottom="0.75" header="0.3" footer="0.3"/>
</worksheet>
</file>

<file path=xl/worksheets/sheet23.xml><?xml version="1.0" encoding="utf-8"?>
<worksheet xmlns="http://schemas.openxmlformats.org/spreadsheetml/2006/main" xmlns:r="http://schemas.openxmlformats.org/officeDocument/2006/relationships">
  <sheetPr>
    <tabColor theme="7"/>
  </sheetPr>
  <dimension ref="A1:E33"/>
  <sheetViews>
    <sheetView workbookViewId="0"/>
  </sheetViews>
  <sheetFormatPr defaultRowHeight="12.75" outlineLevelRow="1"/>
  <cols>
    <col min="1" max="1" width="9.140625" style="496"/>
    <col min="2" max="2" width="25.140625" style="496" customWidth="1"/>
    <col min="3" max="3" width="8" style="496" bestFit="1" customWidth="1"/>
    <col min="4" max="4" width="10.7109375" style="524" bestFit="1" customWidth="1"/>
    <col min="5" max="5" width="24.42578125" style="496" customWidth="1"/>
    <col min="6" max="16384" width="9.140625" style="496"/>
  </cols>
  <sheetData>
    <row r="1" spans="1:5">
      <c r="A1" s="126" t="s">
        <v>91</v>
      </c>
      <c r="B1" s="126" t="str">
        <f>'ORTP Summary'!C1</f>
        <v>ISO-NE ORTP 2013 Study</v>
      </c>
    </row>
    <row r="2" spans="1:5">
      <c r="A2" s="126" t="s">
        <v>92</v>
      </c>
      <c r="B2" s="140" t="s">
        <v>113</v>
      </c>
    </row>
    <row r="3" spans="1:5">
      <c r="A3" s="126" t="s">
        <v>114</v>
      </c>
      <c r="B3" s="95" t="s">
        <v>396</v>
      </c>
    </row>
    <row r="5" spans="1:5" ht="6" customHeight="1" thickBot="1">
      <c r="B5" s="543"/>
      <c r="C5" s="543"/>
      <c r="D5" s="525"/>
    </row>
    <row r="6" spans="1:5" ht="6" customHeight="1" thickTop="1">
      <c r="B6" s="542"/>
      <c r="C6" s="542"/>
      <c r="D6" s="541"/>
    </row>
    <row r="7" spans="1:5">
      <c r="B7" s="540" t="s">
        <v>394</v>
      </c>
      <c r="C7" s="718" t="s">
        <v>162</v>
      </c>
      <c r="D7" s="519" t="s">
        <v>393</v>
      </c>
      <c r="E7" s="524"/>
    </row>
    <row r="8" spans="1:5" ht="6" customHeight="1">
      <c r="B8" s="539"/>
      <c r="C8" s="719"/>
      <c r="D8" s="538"/>
      <c r="E8" s="524"/>
    </row>
    <row r="9" spans="1:5" ht="6" customHeight="1">
      <c r="B9" s="500"/>
      <c r="C9" s="720"/>
      <c r="D9" s="510"/>
      <c r="E9" s="524"/>
    </row>
    <row r="10" spans="1:5">
      <c r="B10" s="500" t="s">
        <v>0</v>
      </c>
      <c r="C10" s="720"/>
      <c r="D10" s="499"/>
      <c r="E10" s="524"/>
    </row>
    <row r="11" spans="1:5">
      <c r="B11" s="509" t="s">
        <v>387</v>
      </c>
      <c r="C11" s="524" t="s">
        <v>386</v>
      </c>
      <c r="D11" s="499">
        <v>1</v>
      </c>
      <c r="E11" s="524"/>
    </row>
    <row r="12" spans="1:5">
      <c r="B12" s="515" t="s">
        <v>385</v>
      </c>
      <c r="C12" s="721" t="s">
        <v>384</v>
      </c>
      <c r="D12" s="499">
        <v>10</v>
      </c>
      <c r="E12" s="524"/>
    </row>
    <row r="13" spans="1:5">
      <c r="B13" s="515" t="s">
        <v>344</v>
      </c>
      <c r="C13" s="721" t="s">
        <v>258</v>
      </c>
      <c r="D13" s="563">
        <f>'CONE Calcs'!ATWACC</f>
        <v>7.1970000000000006E-2</v>
      </c>
      <c r="E13" s="524"/>
    </row>
    <row r="14" spans="1:5" s="503" customFormat="1" hidden="1" outlineLevel="1">
      <c r="B14" s="507" t="s">
        <v>392</v>
      </c>
      <c r="C14" s="717" t="s">
        <v>275</v>
      </c>
      <c r="D14" s="530">
        <f>SUM($D$15:$D$17)</f>
        <v>205</v>
      </c>
      <c r="E14" s="529"/>
    </row>
    <row r="15" spans="1:5" hidden="1" outlineLevel="1">
      <c r="B15" s="537" t="s">
        <v>437</v>
      </c>
      <c r="C15" s="524" t="s">
        <v>275</v>
      </c>
      <c r="D15" s="536">
        <v>40</v>
      </c>
      <c r="E15" s="535"/>
    </row>
    <row r="16" spans="1:5" hidden="1" outlineLevel="1">
      <c r="B16" s="537" t="s">
        <v>380</v>
      </c>
      <c r="C16" s="524" t="s">
        <v>275</v>
      </c>
      <c r="D16" s="536">
        <v>125</v>
      </c>
      <c r="E16" s="535"/>
    </row>
    <row r="17" spans="2:5" s="503" customFormat="1" hidden="1" outlineLevel="1">
      <c r="B17" s="534" t="s">
        <v>391</v>
      </c>
      <c r="C17" s="717" t="s">
        <v>275</v>
      </c>
      <c r="D17" s="533">
        <v>40</v>
      </c>
      <c r="E17" s="532"/>
    </row>
    <row r="18" spans="2:5" s="503" customFormat="1" hidden="1" outlineLevel="1">
      <c r="B18" s="507" t="s">
        <v>390</v>
      </c>
      <c r="C18" s="717" t="s">
        <v>376</v>
      </c>
      <c r="D18" s="533">
        <v>40</v>
      </c>
      <c r="E18" s="532"/>
    </row>
    <row r="19" spans="2:5" s="503" customFormat="1" hidden="1" outlineLevel="1">
      <c r="B19" s="507" t="s">
        <v>177</v>
      </c>
      <c r="C19" s="717" t="s">
        <v>376</v>
      </c>
      <c r="D19" s="533">
        <v>10</v>
      </c>
      <c r="E19" s="532"/>
    </row>
    <row r="20" spans="2:5" s="503" customFormat="1" hidden="1" outlineLevel="1">
      <c r="B20" s="507" t="s">
        <v>838</v>
      </c>
      <c r="C20" s="717" t="s">
        <v>376</v>
      </c>
      <c r="D20" s="533">
        <v>10</v>
      </c>
      <c r="E20" s="532"/>
    </row>
    <row r="21" spans="2:5" s="503" customFormat="1" ht="6" customHeight="1" collapsed="1">
      <c r="B21" s="505"/>
      <c r="C21" s="722"/>
      <c r="D21" s="531"/>
      <c r="E21" s="529"/>
    </row>
    <row r="22" spans="2:5" s="503" customFormat="1" ht="6" customHeight="1">
      <c r="C22" s="717"/>
      <c r="D22" s="530"/>
      <c r="E22" s="529"/>
    </row>
    <row r="23" spans="2:5" s="503" customFormat="1">
      <c r="B23" s="528" t="s">
        <v>381</v>
      </c>
      <c r="C23" s="717"/>
      <c r="D23" s="527"/>
    </row>
    <row r="24" spans="2:5" s="503" customFormat="1">
      <c r="B24" s="507" t="s">
        <v>438</v>
      </c>
      <c r="C24" s="524" t="s">
        <v>333</v>
      </c>
      <c r="D24" s="724">
        <f>-PMT('CONE Calcs'!D45,$D$12,$D$14,0,1)/$D$11/12</f>
        <v>2.0937165707720093</v>
      </c>
    </row>
    <row r="25" spans="2:5" s="503" customFormat="1">
      <c r="B25" s="507" t="s">
        <v>390</v>
      </c>
      <c r="C25" s="524" t="s">
        <v>333</v>
      </c>
      <c r="D25" s="725">
        <f>$D$18/$D$11/12</f>
        <v>3.3333333333333335</v>
      </c>
    </row>
    <row r="26" spans="2:5" s="503" customFormat="1">
      <c r="B26" s="507" t="s">
        <v>177</v>
      </c>
      <c r="C26" s="524" t="s">
        <v>333</v>
      </c>
      <c r="D26" s="726">
        <f>$D$19/D11/12</f>
        <v>0.83333333333333337</v>
      </c>
    </row>
    <row r="27" spans="2:5" s="503" customFormat="1">
      <c r="B27" s="507" t="s">
        <v>838</v>
      </c>
      <c r="C27" s="524" t="s">
        <v>333</v>
      </c>
      <c r="D27" s="726">
        <f>$D$20/$D$11/12</f>
        <v>0.83333333333333337</v>
      </c>
    </row>
    <row r="28" spans="2:5" s="503" customFormat="1">
      <c r="B28" s="526" t="s">
        <v>377</v>
      </c>
      <c r="C28" s="723" t="s">
        <v>333</v>
      </c>
      <c r="D28" s="727">
        <f>SUM($D$23:$D$27)</f>
        <v>7.0937165707720089</v>
      </c>
    </row>
    <row r="29" spans="2:5" s="503" customFormat="1" ht="6" customHeight="1">
      <c r="B29" s="505"/>
      <c r="C29" s="722"/>
      <c r="D29" s="728"/>
    </row>
    <row r="30" spans="2:5" s="503" customFormat="1" ht="6" customHeight="1">
      <c r="C30" s="717"/>
      <c r="D30" s="725"/>
    </row>
    <row r="31" spans="2:5">
      <c r="B31" s="500" t="s">
        <v>213</v>
      </c>
      <c r="C31" s="524" t="s">
        <v>333</v>
      </c>
      <c r="D31" s="729">
        <f>$D$28</f>
        <v>7.0937165707720089</v>
      </c>
    </row>
    <row r="32" spans="2:5" ht="6" customHeight="1" thickBot="1">
      <c r="B32" s="497"/>
      <c r="C32" s="497"/>
      <c r="D32" s="525"/>
    </row>
    <row r="33" ht="6" customHeight="1" thickTop="1"/>
  </sheetData>
  <pageMargins left="0.7" right="0.7" top="0.75" bottom="0.75" header="0.3" footer="0.3"/>
  <pageSetup orientation="portrait" blackAndWhite="1" r:id="rId1"/>
</worksheet>
</file>

<file path=xl/worksheets/sheet24.xml><?xml version="1.0" encoding="utf-8"?>
<worksheet xmlns="http://schemas.openxmlformats.org/spreadsheetml/2006/main" xmlns:r="http://schemas.openxmlformats.org/officeDocument/2006/relationships">
  <sheetPr>
    <tabColor theme="7"/>
  </sheetPr>
  <dimension ref="A1:F30"/>
  <sheetViews>
    <sheetView workbookViewId="0">
      <selection activeCell="B2" sqref="B2"/>
    </sheetView>
  </sheetViews>
  <sheetFormatPr defaultRowHeight="12.75" outlineLevelRow="1"/>
  <cols>
    <col min="1" max="1" width="9.85546875" style="496" bestFit="1" customWidth="1"/>
    <col min="2" max="2" width="26.42578125" style="496" bestFit="1" customWidth="1"/>
    <col min="3" max="4" width="8.7109375" style="496" customWidth="1"/>
    <col min="5" max="5" width="19.5703125" style="496" customWidth="1"/>
    <col min="6" max="6" width="13.28515625" style="496" customWidth="1"/>
    <col min="7" max="16384" width="9.140625" style="496"/>
  </cols>
  <sheetData>
    <row r="1" spans="1:6">
      <c r="A1" s="126" t="s">
        <v>91</v>
      </c>
      <c r="B1" s="126" t="str">
        <f>'ORTP Summary'!C1</f>
        <v>ISO-NE ORTP 2013 Study</v>
      </c>
    </row>
    <row r="2" spans="1:6">
      <c r="A2" s="126" t="s">
        <v>92</v>
      </c>
      <c r="B2" s="140" t="s">
        <v>113</v>
      </c>
    </row>
    <row r="3" spans="1:6">
      <c r="A3" s="126" t="s">
        <v>114</v>
      </c>
      <c r="B3" s="95" t="s">
        <v>839</v>
      </c>
    </row>
    <row r="4" spans="1:6">
      <c r="A4" s="126"/>
      <c r="B4" s="95"/>
    </row>
    <row r="5" spans="1:6" ht="6" customHeight="1" thickBot="1">
      <c r="B5" s="497"/>
      <c r="C5" s="497"/>
      <c r="D5" s="497"/>
    </row>
    <row r="6" spans="1:6" ht="6" customHeight="1" thickTop="1"/>
    <row r="7" spans="1:6">
      <c r="B7" s="523" t="s">
        <v>389</v>
      </c>
      <c r="C7" s="718" t="s">
        <v>162</v>
      </c>
      <c r="D7" s="518" t="s">
        <v>388</v>
      </c>
      <c r="E7" s="517"/>
      <c r="F7" s="517"/>
    </row>
    <row r="8" spans="1:6" ht="6" customHeight="1">
      <c r="B8" s="522"/>
      <c r="C8" s="1121"/>
      <c r="D8" s="521"/>
      <c r="E8" s="517"/>
      <c r="F8" s="517"/>
    </row>
    <row r="9" spans="1:6" ht="6" customHeight="1">
      <c r="B9" s="520"/>
      <c r="C9" s="718"/>
      <c r="D9" s="518"/>
      <c r="E9" s="517"/>
      <c r="F9" s="517"/>
    </row>
    <row r="10" spans="1:6">
      <c r="B10" s="500" t="s">
        <v>0</v>
      </c>
      <c r="C10" s="720"/>
      <c r="D10" s="510"/>
    </row>
    <row r="11" spans="1:6">
      <c r="B11" s="509" t="s">
        <v>387</v>
      </c>
      <c r="C11" s="524" t="s">
        <v>386</v>
      </c>
      <c r="D11" s="499">
        <v>500</v>
      </c>
    </row>
    <row r="12" spans="1:6">
      <c r="B12" s="515" t="s">
        <v>385</v>
      </c>
      <c r="C12" s="721" t="s">
        <v>384</v>
      </c>
      <c r="D12" s="516">
        <v>3</v>
      </c>
      <c r="E12" s="516"/>
      <c r="F12" s="516"/>
    </row>
    <row r="13" spans="1:6">
      <c r="B13" s="515" t="s">
        <v>344</v>
      </c>
      <c r="C13" s="721" t="s">
        <v>258</v>
      </c>
      <c r="D13" s="563">
        <f>'CONE Calcs'!ATWACC</f>
        <v>7.1970000000000006E-2</v>
      </c>
      <c r="E13" s="516"/>
      <c r="F13" s="516"/>
    </row>
    <row r="14" spans="1:6" hidden="1" outlineLevel="1">
      <c r="B14" s="509" t="s">
        <v>379</v>
      </c>
      <c r="C14" s="524" t="s">
        <v>258</v>
      </c>
      <c r="D14" s="514">
        <v>0.7</v>
      </c>
      <c r="E14" s="514"/>
      <c r="F14" s="514"/>
    </row>
    <row r="15" spans="1:6" hidden="1" outlineLevel="1">
      <c r="B15" s="509" t="s">
        <v>383</v>
      </c>
      <c r="C15" s="524" t="s">
        <v>258</v>
      </c>
      <c r="D15" s="514">
        <v>0.01</v>
      </c>
      <c r="E15" s="514"/>
      <c r="F15" s="514"/>
    </row>
    <row r="16" spans="1:6" hidden="1" outlineLevel="1">
      <c r="B16" s="509" t="s">
        <v>382</v>
      </c>
      <c r="C16" s="524" t="s">
        <v>333</v>
      </c>
      <c r="D16" s="564">
        <v>3.15</v>
      </c>
      <c r="E16" s="514"/>
      <c r="F16" s="514"/>
    </row>
    <row r="17" spans="2:6" hidden="1" outlineLevel="1">
      <c r="B17" s="509" t="s">
        <v>397</v>
      </c>
      <c r="C17" s="524" t="s">
        <v>333</v>
      </c>
      <c r="D17" s="513">
        <v>1.3</v>
      </c>
      <c r="E17" s="499"/>
      <c r="F17" s="513"/>
    </row>
    <row r="18" spans="2:6" hidden="1" outlineLevel="1">
      <c r="B18" s="509" t="s">
        <v>380</v>
      </c>
      <c r="C18" s="524" t="s">
        <v>275</v>
      </c>
      <c r="D18" s="612">
        <v>3500</v>
      </c>
      <c r="E18" s="501"/>
      <c r="F18" s="501"/>
    </row>
    <row r="19" spans="2:6" ht="6" customHeight="1" collapsed="1">
      <c r="B19" s="512"/>
      <c r="C19" s="1122"/>
      <c r="D19" s="511"/>
      <c r="E19" s="501"/>
      <c r="F19" s="501"/>
    </row>
    <row r="20" spans="2:6" ht="6" customHeight="1">
      <c r="C20" s="524"/>
      <c r="D20" s="510"/>
    </row>
    <row r="21" spans="2:6">
      <c r="B21" s="500" t="s">
        <v>381</v>
      </c>
      <c r="C21" s="720"/>
      <c r="D21" s="499"/>
    </row>
    <row r="22" spans="2:6">
      <c r="B22" s="509" t="s">
        <v>380</v>
      </c>
      <c r="C22" s="524" t="s">
        <v>333</v>
      </c>
      <c r="D22" s="730">
        <f>-PMT('CONE Calcs'!$D$45,$D$12,$D$18,0,1)/$D$11/12</f>
        <v>0.20370033920634786</v>
      </c>
      <c r="E22" s="501"/>
      <c r="F22" s="501"/>
    </row>
    <row r="23" spans="2:6">
      <c r="B23" s="507" t="s">
        <v>379</v>
      </c>
      <c r="C23" s="524" t="s">
        <v>333</v>
      </c>
      <c r="D23" s="730">
        <f>$D$17*$D$14</f>
        <v>0.90999999999999992</v>
      </c>
      <c r="E23" s="508"/>
      <c r="F23" s="501"/>
    </row>
    <row r="24" spans="2:6">
      <c r="B24" s="507" t="s">
        <v>378</v>
      </c>
      <c r="C24" s="524" t="s">
        <v>333</v>
      </c>
      <c r="D24" s="730">
        <f>$D$16*$D$15</f>
        <v>3.15E-2</v>
      </c>
      <c r="E24" s="501"/>
      <c r="F24" s="501"/>
    </row>
    <row r="25" spans="2:6">
      <c r="B25" s="506" t="s">
        <v>377</v>
      </c>
      <c r="C25" s="524" t="s">
        <v>333</v>
      </c>
      <c r="D25" s="731">
        <f>SUM($D$22:$D$24)</f>
        <v>1.1452003392063479</v>
      </c>
      <c r="E25" s="501"/>
      <c r="F25" s="501"/>
    </row>
    <row r="26" spans="2:6" ht="6" customHeight="1">
      <c r="B26" s="505"/>
      <c r="C26" s="722"/>
      <c r="D26" s="504"/>
      <c r="E26" s="501"/>
      <c r="F26" s="501"/>
    </row>
    <row r="27" spans="2:6" ht="6" customHeight="1">
      <c r="B27" s="503"/>
      <c r="C27" s="717"/>
      <c r="D27" s="502"/>
      <c r="E27" s="501"/>
      <c r="F27" s="501"/>
    </row>
    <row r="28" spans="2:6">
      <c r="B28" s="500" t="s">
        <v>213</v>
      </c>
      <c r="C28" s="524" t="s">
        <v>333</v>
      </c>
      <c r="D28" s="732">
        <f>$D$25</f>
        <v>1.1452003392063479</v>
      </c>
      <c r="E28" s="498"/>
      <c r="F28" s="498"/>
    </row>
    <row r="29" spans="2:6" ht="6" customHeight="1" thickBot="1">
      <c r="B29" s="497"/>
      <c r="C29" s="497"/>
      <c r="D29" s="497"/>
    </row>
    <row r="30" spans="2:6" ht="6" customHeight="1" thickTop="1"/>
  </sheetData>
  <pageMargins left="0.7" right="0.7" top="0.75" bottom="0.75" header="0.3" footer="0.3"/>
  <pageSetup orientation="portrait" blackAndWhite="1" r:id="rId1"/>
</worksheet>
</file>

<file path=xl/worksheets/sheet25.xml><?xml version="1.0" encoding="utf-8"?>
<worksheet xmlns="http://schemas.openxmlformats.org/spreadsheetml/2006/main" xmlns:r="http://schemas.openxmlformats.org/officeDocument/2006/relationships">
  <sheetPr>
    <tabColor theme="2" tint="-0.499984740745262"/>
  </sheetPr>
  <dimension ref="A1"/>
  <sheetViews>
    <sheetView workbookViewId="0">
      <selection activeCell="B44" sqref="B44"/>
    </sheetView>
  </sheetViews>
  <sheetFormatPr defaultRowHeight="12.75"/>
  <sheetData/>
  <pageMargins left="0.7" right="0.7" top="0.75" bottom="0.75" header="0.3" footer="0.3"/>
</worksheet>
</file>

<file path=xl/worksheets/sheet26.xml><?xml version="1.0" encoding="utf-8"?>
<worksheet xmlns="http://schemas.openxmlformats.org/spreadsheetml/2006/main" xmlns:r="http://schemas.openxmlformats.org/officeDocument/2006/relationships">
  <sheetPr>
    <tabColor theme="2" tint="-0.499984740745262"/>
  </sheetPr>
  <dimension ref="A1:P65"/>
  <sheetViews>
    <sheetView zoomScaleNormal="100" workbookViewId="0">
      <selection activeCell="B2" sqref="B2"/>
    </sheetView>
  </sheetViews>
  <sheetFormatPr defaultRowHeight="12.75"/>
  <cols>
    <col min="1" max="1" width="9.85546875" style="757" bestFit="1" customWidth="1"/>
    <col min="2" max="2" width="23.5703125" style="757" bestFit="1" customWidth="1"/>
    <col min="3" max="3" width="10.42578125" style="757" customWidth="1"/>
    <col min="4" max="4" width="8.7109375" style="757" customWidth="1"/>
    <col min="5" max="10" width="9.140625" style="757"/>
    <col min="11" max="11" width="40.140625" style="757" bestFit="1" customWidth="1"/>
    <col min="12" max="13" width="9.140625" style="757"/>
    <col min="14" max="14" width="10.7109375" style="757" bestFit="1" customWidth="1"/>
    <col min="15" max="16" width="9.140625" style="757"/>
    <col min="17" max="17" width="3" style="757" customWidth="1"/>
    <col min="18" max="18" width="41.140625" style="757" bestFit="1" customWidth="1"/>
    <col min="19" max="16384" width="9.140625" style="757"/>
  </cols>
  <sheetData>
    <row r="1" spans="1:7">
      <c r="A1" s="826" t="s">
        <v>91</v>
      </c>
      <c r="B1" s="126" t="str">
        <f>'ORTP Summary'!C1</f>
        <v>ISO-NE ORTP 2013 Study</v>
      </c>
      <c r="D1" s="758"/>
    </row>
    <row r="2" spans="1:7" s="759" customFormat="1">
      <c r="A2" s="826" t="s">
        <v>92</v>
      </c>
      <c r="B2" s="830" t="s">
        <v>113</v>
      </c>
      <c r="C2" s="760"/>
      <c r="E2" s="761"/>
      <c r="F2" s="762"/>
      <c r="G2" s="762"/>
    </row>
    <row r="3" spans="1:7" s="759" customFormat="1">
      <c r="A3" s="826" t="s">
        <v>114</v>
      </c>
      <c r="B3" s="831" t="s">
        <v>831</v>
      </c>
      <c r="C3" s="760"/>
      <c r="E3" s="761"/>
      <c r="G3" s="762"/>
    </row>
    <row r="4" spans="1:7" s="759" customFormat="1">
      <c r="E4" s="761"/>
      <c r="G4" s="762"/>
    </row>
    <row r="5" spans="1:7" ht="6" customHeight="1" thickBot="1">
      <c r="B5" s="763"/>
      <c r="C5" s="763"/>
      <c r="D5" s="763"/>
    </row>
    <row r="6" spans="1:7" ht="6" customHeight="1" thickTop="1">
      <c r="B6" s="764"/>
      <c r="C6" s="764"/>
      <c r="D6" s="764"/>
    </row>
    <row r="7" spans="1:7">
      <c r="B7" s="764" t="s">
        <v>342</v>
      </c>
      <c r="C7" s="765" t="s">
        <v>262</v>
      </c>
      <c r="D7" s="766">
        <v>1</v>
      </c>
      <c r="E7" s="767"/>
    </row>
    <row r="8" spans="1:7">
      <c r="B8" s="764" t="s">
        <v>316</v>
      </c>
      <c r="C8" s="765" t="s">
        <v>262</v>
      </c>
      <c r="D8" s="766">
        <v>1</v>
      </c>
      <c r="E8" s="767"/>
    </row>
    <row r="9" spans="1:7">
      <c r="B9" s="764" t="s">
        <v>346</v>
      </c>
      <c r="C9" s="765" t="s">
        <v>343</v>
      </c>
      <c r="D9" s="768">
        <f ca="1">'State Programs Summary'!E28</f>
        <v>2570.9748032400275</v>
      </c>
      <c r="E9" s="767"/>
    </row>
    <row r="10" spans="1:7">
      <c r="B10" s="764" t="s">
        <v>344</v>
      </c>
      <c r="C10" s="765" t="s">
        <v>258</v>
      </c>
      <c r="D10" s="769">
        <v>7.1999999999999995E-2</v>
      </c>
      <c r="E10" s="770"/>
    </row>
    <row r="11" spans="1:7">
      <c r="B11" s="771" t="s">
        <v>447</v>
      </c>
      <c r="C11" s="765" t="s">
        <v>448</v>
      </c>
      <c r="D11" s="1098">
        <f>'State Programs Summary'!E11*$D$7/'State Programs Summary'!E16</f>
        <v>4212.4055984120014</v>
      </c>
      <c r="E11" s="770"/>
    </row>
    <row r="12" spans="1:7">
      <c r="B12" s="760" t="s">
        <v>449</v>
      </c>
      <c r="C12" s="765" t="s">
        <v>329</v>
      </c>
      <c r="D12" s="1123">
        <f>'EE Savings'!E13</f>
        <v>62.633104161104249</v>
      </c>
      <c r="E12" s="770"/>
    </row>
    <row r="13" spans="1:7">
      <c r="B13" s="760" t="s">
        <v>450</v>
      </c>
      <c r="C13" s="765" t="s">
        <v>403</v>
      </c>
      <c r="D13" s="1124">
        <f>'EE Savings'!E38</f>
        <v>40.550916674362185</v>
      </c>
      <c r="E13" s="770"/>
    </row>
    <row r="14" spans="1:7" ht="6" customHeight="1">
      <c r="B14" s="772"/>
      <c r="C14" s="773"/>
      <c r="D14" s="774"/>
    </row>
    <row r="15" spans="1:7" ht="6" customHeight="1">
      <c r="B15" s="764"/>
      <c r="C15" s="765"/>
      <c r="D15" s="775"/>
    </row>
    <row r="16" spans="1:7">
      <c r="B16" s="776" t="s">
        <v>328</v>
      </c>
      <c r="C16" s="777" t="s">
        <v>333</v>
      </c>
      <c r="D16" s="778">
        <f ca="1">SUM(D17:D18)</f>
        <v>24.394054455635921</v>
      </c>
      <c r="E16" s="779"/>
    </row>
    <row r="17" spans="2:5">
      <c r="B17" s="780" t="s">
        <v>345</v>
      </c>
      <c r="C17" s="765" t="s">
        <v>333</v>
      </c>
      <c r="D17" s="1065">
        <f ca="1">-PMT('CONE Calcs'!$D$45,'State Programs Summary'!E29,D9,0,1)/12</f>
        <v>24.394054455635921</v>
      </c>
      <c r="E17" s="779"/>
    </row>
    <row r="18" spans="2:5">
      <c r="B18" s="780" t="s">
        <v>293</v>
      </c>
      <c r="C18" s="765" t="s">
        <v>333</v>
      </c>
      <c r="D18" s="781">
        <v>0</v>
      </c>
      <c r="E18" s="779"/>
    </row>
    <row r="19" spans="2:5" ht="6" customHeight="1">
      <c r="B19" s="780"/>
      <c r="C19" s="765"/>
      <c r="D19" s="781"/>
      <c r="E19" s="779"/>
    </row>
    <row r="20" spans="2:5">
      <c r="B20" s="776" t="s">
        <v>296</v>
      </c>
      <c r="C20" s="777" t="s">
        <v>333</v>
      </c>
      <c r="D20" s="778">
        <f>SUM(D21:D22)</f>
        <v>25.365579607376649</v>
      </c>
      <c r="E20" s="779"/>
    </row>
    <row r="21" spans="2:5">
      <c r="B21" s="780" t="s">
        <v>451</v>
      </c>
      <c r="C21" s="765" t="s">
        <v>333</v>
      </c>
      <c r="D21" s="782">
        <f>D12*D11/(D7*10^3)/12</f>
        <v>21.9863365511798</v>
      </c>
      <c r="E21" s="779"/>
    </row>
    <row r="22" spans="2:5">
      <c r="B22" s="780" t="s">
        <v>452</v>
      </c>
      <c r="C22" s="765" t="s">
        <v>333</v>
      </c>
      <c r="D22" s="782">
        <f>D13/12</f>
        <v>3.3792430561968487</v>
      </c>
      <c r="E22" s="779"/>
    </row>
    <row r="23" spans="2:5" ht="6" customHeight="1">
      <c r="B23" s="780"/>
      <c r="C23" s="765"/>
      <c r="D23" s="782"/>
      <c r="E23" s="779"/>
    </row>
    <row r="24" spans="2:5">
      <c r="B24" s="776" t="s">
        <v>295</v>
      </c>
      <c r="C24" s="777" t="s">
        <v>333</v>
      </c>
      <c r="D24" s="778">
        <f ca="1">D16-D20</f>
        <v>-0.97152515174072818</v>
      </c>
      <c r="E24" s="779"/>
    </row>
    <row r="25" spans="2:5" ht="6" customHeight="1">
      <c r="B25" s="772"/>
      <c r="C25" s="773"/>
      <c r="D25" s="783"/>
    </row>
    <row r="26" spans="2:5" ht="6" customHeight="1">
      <c r="B26" s="764"/>
      <c r="C26" s="765"/>
      <c r="D26" s="784"/>
    </row>
    <row r="27" spans="2:5">
      <c r="B27" s="785" t="s">
        <v>213</v>
      </c>
      <c r="C27" s="786" t="s">
        <v>333</v>
      </c>
      <c r="D27" s="787">
        <f ca="1">IF(D24&lt;0,0,D24)</f>
        <v>0</v>
      </c>
      <c r="E27" s="767"/>
    </row>
    <row r="28" spans="2:5" ht="6" customHeight="1" thickBot="1">
      <c r="B28" s="763"/>
      <c r="C28" s="763"/>
      <c r="D28" s="763"/>
    </row>
    <row r="29" spans="2:5" ht="6" customHeight="1" thickTop="1">
      <c r="B29" s="764"/>
      <c r="C29" s="764"/>
      <c r="D29" s="764"/>
    </row>
    <row r="34" spans="11:16">
      <c r="K34" s="788"/>
      <c r="L34" s="788"/>
      <c r="M34" s="788"/>
      <c r="N34" s="788"/>
      <c r="O34" s="788"/>
      <c r="P34" s="788"/>
    </row>
    <row r="64" ht="12.75" customHeight="1"/>
    <row r="65" ht="12.75" customHeight="1"/>
  </sheetData>
  <pageMargins left="0.7" right="0.7" top="0.75" bottom="0.75" header="0.3" footer="0.3"/>
  <pageSetup orientation="portrait" blackAndWhite="1" r:id="rId1"/>
</worksheet>
</file>

<file path=xl/worksheets/sheet27.xml><?xml version="1.0" encoding="utf-8"?>
<worksheet xmlns="http://schemas.openxmlformats.org/spreadsheetml/2006/main" xmlns:r="http://schemas.openxmlformats.org/officeDocument/2006/relationships">
  <sheetPr>
    <tabColor theme="2" tint="-0.499984740745262"/>
  </sheetPr>
  <dimension ref="A1:P48"/>
  <sheetViews>
    <sheetView zoomScaleNormal="100" workbookViewId="0">
      <selection activeCell="W48" sqref="W48"/>
    </sheetView>
  </sheetViews>
  <sheetFormatPr defaultRowHeight="12.75"/>
  <cols>
    <col min="1" max="1" width="9.85546875" style="764" bestFit="1" customWidth="1"/>
    <col min="2" max="2" width="9.28515625" style="813" customWidth="1"/>
    <col min="3" max="4" width="10.7109375" style="864" customWidth="1"/>
    <col min="5" max="7" width="10.7109375" style="764" customWidth="1"/>
    <col min="8" max="16384" width="9.140625" style="764"/>
  </cols>
  <sheetData>
    <row r="1" spans="1:7">
      <c r="A1" s="826" t="s">
        <v>91</v>
      </c>
      <c r="B1" s="126" t="str">
        <f>'ORTP Summary'!C1</f>
        <v>ISO-NE ORTP 2013 Study</v>
      </c>
    </row>
    <row r="2" spans="1:7">
      <c r="A2" s="826" t="s">
        <v>92</v>
      </c>
      <c r="B2" s="830" t="s">
        <v>113</v>
      </c>
    </row>
    <row r="3" spans="1:7">
      <c r="A3" s="826" t="s">
        <v>114</v>
      </c>
      <c r="B3" s="831" t="s">
        <v>823</v>
      </c>
    </row>
    <row r="4" spans="1:7">
      <c r="B4" s="764"/>
    </row>
    <row r="5" spans="1:7">
      <c r="B5" s="860" t="s">
        <v>451</v>
      </c>
    </row>
    <row r="6" spans="1:7">
      <c r="B6" s="785"/>
    </row>
    <row r="7" spans="1:7">
      <c r="B7" s="764"/>
      <c r="C7" s="764"/>
      <c r="D7" s="813" t="s">
        <v>814</v>
      </c>
      <c r="E7" s="813">
        <v>2010</v>
      </c>
      <c r="G7" s="864"/>
    </row>
    <row r="8" spans="1:7">
      <c r="B8" s="764"/>
      <c r="C8" s="764"/>
      <c r="D8" s="813" t="s">
        <v>815</v>
      </c>
      <c r="E8" s="813">
        <v>2012</v>
      </c>
      <c r="G8" s="864"/>
    </row>
    <row r="9" spans="1:7">
      <c r="C9" s="764"/>
      <c r="D9" s="813"/>
      <c r="E9" s="813"/>
      <c r="G9" s="864"/>
    </row>
    <row r="10" spans="1:7">
      <c r="C10" s="764"/>
      <c r="D10" s="813" t="s">
        <v>826</v>
      </c>
      <c r="E10" s="1099">
        <v>46.293637271271159</v>
      </c>
      <c r="F10" s="764" t="s">
        <v>329</v>
      </c>
      <c r="G10" s="1081"/>
    </row>
    <row r="11" spans="1:7">
      <c r="C11" s="764"/>
      <c r="D11" s="813" t="s">
        <v>827</v>
      </c>
      <c r="E11" s="1097">
        <f>SUMPRODUCT($F$20:$F$31,$G$20:$G$31)</f>
        <v>1.3529527566409869</v>
      </c>
      <c r="G11" s="864"/>
    </row>
    <row r="12" spans="1:7">
      <c r="C12" s="764"/>
      <c r="D12" s="813"/>
      <c r="E12" s="813"/>
      <c r="G12" s="864"/>
    </row>
    <row r="13" spans="1:7">
      <c r="C13" s="764"/>
      <c r="D13" s="813" t="s">
        <v>828</v>
      </c>
      <c r="E13" s="1100">
        <f>E10*E11</f>
        <v>62.633104161104249</v>
      </c>
      <c r="F13" s="764" t="s">
        <v>329</v>
      </c>
      <c r="G13" s="1081"/>
    </row>
    <row r="15" spans="1:7" ht="6" customHeight="1" thickBot="1">
      <c r="B15" s="853"/>
      <c r="C15" s="1082"/>
      <c r="D15" s="1082"/>
      <c r="E15" s="763"/>
      <c r="F15" s="763"/>
      <c r="G15" s="763"/>
    </row>
    <row r="16" spans="1:7" ht="6" customHeight="1" thickTop="1"/>
    <row r="17" spans="2:7" s="855" customFormat="1" ht="38.25">
      <c r="B17" s="1083" t="s">
        <v>434</v>
      </c>
      <c r="C17" s="1084" t="s">
        <v>816</v>
      </c>
      <c r="D17" s="1084" t="s">
        <v>817</v>
      </c>
      <c r="E17" s="1084" t="s">
        <v>818</v>
      </c>
      <c r="F17" s="1084" t="s">
        <v>819</v>
      </c>
      <c r="G17" s="1084" t="s">
        <v>820</v>
      </c>
    </row>
    <row r="18" spans="2:7">
      <c r="B18" s="1085"/>
      <c r="C18" s="1086" t="s">
        <v>417</v>
      </c>
      <c r="D18" s="1086" t="s">
        <v>417</v>
      </c>
      <c r="E18" s="1086" t="s">
        <v>84</v>
      </c>
      <c r="F18" s="1086" t="s">
        <v>76</v>
      </c>
      <c r="G18" s="1086"/>
    </row>
    <row r="19" spans="2:7" ht="6" customHeight="1">
      <c r="B19" s="1087"/>
      <c r="C19" s="1088"/>
      <c r="D19" s="1088"/>
      <c r="E19" s="1088"/>
      <c r="F19" s="1088"/>
      <c r="G19" s="1088"/>
    </row>
    <row r="20" spans="2:7">
      <c r="B20" s="864" t="s">
        <v>197</v>
      </c>
      <c r="C20" s="1089">
        <v>51.259586538461534</v>
      </c>
      <c r="D20" s="1090">
        <v>54.036519468356829</v>
      </c>
      <c r="E20" s="1091">
        <v>14887.631874999961</v>
      </c>
      <c r="F20" s="1092">
        <f t="shared" ref="F20:F31" si="0">$E20/SUM($E$20:$E$31)</f>
        <v>8.5507715488950892E-2</v>
      </c>
      <c r="G20" s="1093">
        <f t="shared" ref="G20:G31" si="1">D20/C20</f>
        <v>1.0541739236974079</v>
      </c>
    </row>
    <row r="21" spans="2:7">
      <c r="B21" s="864" t="s">
        <v>198</v>
      </c>
      <c r="C21" s="1089">
        <v>67.237792338709653</v>
      </c>
      <c r="D21" s="1090">
        <v>63.826659334568035</v>
      </c>
      <c r="E21" s="1091">
        <v>17266.813791574328</v>
      </c>
      <c r="F21" s="1092">
        <f t="shared" si="0"/>
        <v>9.9172643002407315E-2</v>
      </c>
      <c r="G21" s="1093">
        <f t="shared" si="1"/>
        <v>0.94926762337826209</v>
      </c>
    </row>
    <row r="22" spans="2:7">
      <c r="B22" s="864" t="s">
        <v>199</v>
      </c>
      <c r="C22" s="1089">
        <v>54.183290441176482</v>
      </c>
      <c r="D22" s="1090">
        <v>68.504483647606321</v>
      </c>
      <c r="E22" s="1091">
        <v>16306.717293906793</v>
      </c>
      <c r="F22" s="1092">
        <f t="shared" si="0"/>
        <v>9.365828995728985E-2</v>
      </c>
      <c r="G22" s="1093">
        <f t="shared" si="1"/>
        <v>1.2643101422933605</v>
      </c>
    </row>
    <row r="23" spans="2:7">
      <c r="B23" s="864" t="s">
        <v>200</v>
      </c>
      <c r="C23" s="1089">
        <v>45.904948770491771</v>
      </c>
      <c r="D23" s="1090">
        <v>53.968296841353208</v>
      </c>
      <c r="E23" s="1091">
        <v>14314.44615740741</v>
      </c>
      <c r="F23" s="1092">
        <f t="shared" si="0"/>
        <v>8.2215600149604204E-2</v>
      </c>
      <c r="G23" s="1093">
        <f t="shared" si="1"/>
        <v>1.1756531329808313</v>
      </c>
    </row>
    <row r="24" spans="2:7">
      <c r="B24" s="864" t="s">
        <v>201</v>
      </c>
      <c r="C24" s="1089">
        <v>41.929048076923003</v>
      </c>
      <c r="D24" s="1090">
        <v>53.097422579169383</v>
      </c>
      <c r="E24" s="1091">
        <v>13034.501971326172</v>
      </c>
      <c r="F24" s="1092">
        <f t="shared" si="0"/>
        <v>7.4864188976618604E-2</v>
      </c>
      <c r="G24" s="1093">
        <f t="shared" si="1"/>
        <v>1.2663636551384827</v>
      </c>
    </row>
    <row r="25" spans="2:7">
      <c r="B25" s="864" t="s">
        <v>202</v>
      </c>
      <c r="C25" s="1089">
        <v>50.368839285714316</v>
      </c>
      <c r="D25" s="1090">
        <v>59.291992124678451</v>
      </c>
      <c r="E25" s="1091">
        <v>13595.189967637534</v>
      </c>
      <c r="F25" s="1092">
        <f t="shared" si="0"/>
        <v>7.8084523148581192E-2</v>
      </c>
      <c r="G25" s="1093">
        <f t="shared" si="1"/>
        <v>1.1771562133554054</v>
      </c>
    </row>
    <row r="26" spans="2:7">
      <c r="B26" s="864" t="s">
        <v>203</v>
      </c>
      <c r="C26" s="1089">
        <v>54.951171875000036</v>
      </c>
      <c r="D26" s="1090">
        <v>87.201681584787465</v>
      </c>
      <c r="E26" s="1091">
        <v>14776.71755485892</v>
      </c>
      <c r="F26" s="1092">
        <f t="shared" si="0"/>
        <v>8.4870674607640778E-2</v>
      </c>
      <c r="G26" s="1093">
        <f t="shared" si="1"/>
        <v>1.5868939389163375</v>
      </c>
    </row>
    <row r="27" spans="2:7">
      <c r="B27" s="864" t="s">
        <v>192</v>
      </c>
      <c r="C27" s="1089">
        <v>63.454536290322544</v>
      </c>
      <c r="D27" s="1090">
        <v>103.16287839607006</v>
      </c>
      <c r="E27" s="1091">
        <v>15234.131384408585</v>
      </c>
      <c r="F27" s="1092">
        <f t="shared" si="0"/>
        <v>8.7497849428071664E-2</v>
      </c>
      <c r="G27" s="1093">
        <f t="shared" si="1"/>
        <v>1.6257762553660555</v>
      </c>
    </row>
    <row r="28" spans="2:7">
      <c r="B28" s="864" t="s">
        <v>193</v>
      </c>
      <c r="C28" s="1089">
        <v>51.162735655737727</v>
      </c>
      <c r="D28" s="1090">
        <v>101.50027388438131</v>
      </c>
      <c r="E28" s="1091">
        <v>14809.556969026522</v>
      </c>
      <c r="F28" s="1092">
        <f t="shared" si="0"/>
        <v>8.5059289110406819E-2</v>
      </c>
      <c r="G28" s="1093">
        <f t="shared" si="1"/>
        <v>1.9838711238459432</v>
      </c>
    </row>
    <row r="29" spans="2:7">
      <c r="B29" s="864" t="s">
        <v>194</v>
      </c>
      <c r="C29" s="1089">
        <v>41.261130514705918</v>
      </c>
      <c r="D29" s="1090">
        <v>65.714240640450853</v>
      </c>
      <c r="E29" s="1091">
        <v>13804.898317631189</v>
      </c>
      <c r="F29" s="1092">
        <f t="shared" si="0"/>
        <v>7.9288991533981459E-2</v>
      </c>
      <c r="G29" s="1093">
        <f t="shared" si="1"/>
        <v>1.5926427565291643</v>
      </c>
    </row>
    <row r="30" spans="2:7">
      <c r="B30" s="864" t="s">
        <v>195</v>
      </c>
      <c r="C30" s="1089">
        <v>39.941435546875041</v>
      </c>
      <c r="D30" s="1090">
        <v>53.342375506914216</v>
      </c>
      <c r="E30" s="1091">
        <v>12855.448055555567</v>
      </c>
      <c r="F30" s="1092">
        <f t="shared" si="0"/>
        <v>7.383578557334762E-2</v>
      </c>
      <c r="G30" s="1093">
        <f t="shared" si="1"/>
        <v>1.3355147299178045</v>
      </c>
    </row>
    <row r="31" spans="2:7">
      <c r="B31" s="864" t="s">
        <v>196</v>
      </c>
      <c r="C31" s="1089">
        <v>42.592767857142846</v>
      </c>
      <c r="D31" s="1090">
        <v>54.015211629637186</v>
      </c>
      <c r="E31" s="1091">
        <v>13222.584576612922</v>
      </c>
      <c r="F31" s="1092">
        <f t="shared" si="0"/>
        <v>7.5944449023099644E-2</v>
      </c>
      <c r="G31" s="1093">
        <f t="shared" si="1"/>
        <v>1.2681780111310326</v>
      </c>
    </row>
    <row r="32" spans="2:7" ht="6" customHeight="1" thickBot="1">
      <c r="B32" s="853"/>
      <c r="C32" s="1082"/>
      <c r="D32" s="1082"/>
      <c r="E32" s="763"/>
      <c r="F32" s="763"/>
      <c r="G32" s="763"/>
    </row>
    <row r="33" spans="2:16" ht="6" customHeight="1" thickTop="1"/>
    <row r="35" spans="2:16">
      <c r="B35" s="1107" t="s">
        <v>452</v>
      </c>
    </row>
    <row r="36" spans="2:16">
      <c r="B36" s="1096"/>
    </row>
    <row r="37" spans="2:16">
      <c r="C37" s="764"/>
      <c r="D37" s="813" t="s">
        <v>829</v>
      </c>
      <c r="E37" s="813">
        <v>35.880000000000003</v>
      </c>
      <c r="F37" s="764" t="s">
        <v>824</v>
      </c>
    </row>
    <row r="38" spans="2:16">
      <c r="C38" s="764"/>
      <c r="D38" s="813" t="s">
        <v>830</v>
      </c>
      <c r="E38" s="1097">
        <f>E37*(1+'CONE Calcs'!Inflation)^(2018.5-2013)</f>
        <v>40.550916674362185</v>
      </c>
      <c r="F38" s="764" t="s">
        <v>825</v>
      </c>
    </row>
    <row r="39" spans="2:16">
      <c r="O39" s="813"/>
    </row>
    <row r="40" spans="2:16">
      <c r="N40" s="1094"/>
      <c r="O40" s="813"/>
      <c r="P40" s="1095"/>
    </row>
    <row r="41" spans="2:16">
      <c r="N41" s="1094"/>
      <c r="O41" s="813"/>
    </row>
    <row r="42" spans="2:16">
      <c r="O42" s="813"/>
    </row>
    <row r="43" spans="2:16">
      <c r="O43" s="813"/>
    </row>
    <row r="44" spans="2:16">
      <c r="O44" s="813"/>
    </row>
    <row r="45" spans="2:16">
      <c r="O45" s="813"/>
    </row>
    <row r="46" spans="2:16">
      <c r="O46" s="813"/>
    </row>
    <row r="47" spans="2:16">
      <c r="O47" s="813"/>
    </row>
    <row r="48" spans="2:16">
      <c r="O48" s="813"/>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theme="2" tint="-0.499984740745262"/>
  </sheetPr>
  <dimension ref="A1:O32"/>
  <sheetViews>
    <sheetView topLeftCell="B1" zoomScaleNormal="100" workbookViewId="0">
      <selection activeCell="C2" sqref="C2"/>
    </sheetView>
  </sheetViews>
  <sheetFormatPr defaultRowHeight="12.75" outlineLevelCol="1"/>
  <cols>
    <col min="1" max="1" width="6.42578125" style="1116" hidden="1" customWidth="1" outlineLevel="1"/>
    <col min="2" max="2" width="10.5703125" style="789" customWidth="1" collapsed="1"/>
    <col min="3" max="3" width="19.7109375" style="789" customWidth="1"/>
    <col min="4" max="4" width="1.28515625" style="789" customWidth="1"/>
    <col min="5" max="5" width="19.7109375" style="789" customWidth="1"/>
    <col min="6" max="6" width="1.28515625" style="789" customWidth="1"/>
    <col min="7" max="7" width="19.7109375" style="789" customWidth="1"/>
    <col min="8" max="8" width="1.28515625" style="789" customWidth="1"/>
    <col min="9" max="9" width="19.7109375" style="789" customWidth="1"/>
    <col min="10" max="10" width="1.28515625" style="789" customWidth="1" collapsed="1"/>
    <col min="11" max="11" width="19.7109375" style="789" customWidth="1"/>
    <col min="12" max="12" width="1.28515625" style="789" customWidth="1" collapsed="1"/>
    <col min="13" max="13" width="19.7109375" style="789" customWidth="1"/>
    <col min="14" max="14" width="1.28515625" style="789" customWidth="1" collapsed="1"/>
    <col min="15" max="15" width="19.7109375" style="789" customWidth="1"/>
    <col min="16" max="21" width="23.42578125" style="789" customWidth="1"/>
    <col min="22" max="16384" width="9.140625" style="789"/>
  </cols>
  <sheetData>
    <row r="1" spans="1:15">
      <c r="B1" s="826" t="s">
        <v>91</v>
      </c>
      <c r="C1" s="126" t="str">
        <f>'ORTP Summary'!C1</f>
        <v>ISO-NE ORTP 2013 Study</v>
      </c>
    </row>
    <row r="2" spans="1:15">
      <c r="B2" s="826" t="s">
        <v>92</v>
      </c>
      <c r="C2" s="830" t="s">
        <v>113</v>
      </c>
    </row>
    <row r="3" spans="1:15">
      <c r="B3" s="826" t="s">
        <v>114</v>
      </c>
      <c r="C3" s="831" t="s">
        <v>822</v>
      </c>
    </row>
    <row r="5" spans="1:15" ht="6" customHeight="1" thickBot="1">
      <c r="C5" s="790"/>
      <c r="D5" s="790"/>
      <c r="E5" s="790"/>
      <c r="F5" s="790"/>
      <c r="G5" s="790"/>
      <c r="H5" s="790"/>
      <c r="I5" s="790"/>
      <c r="J5" s="790"/>
      <c r="K5" s="790"/>
      <c r="L5" s="790"/>
      <c r="M5" s="790"/>
      <c r="N5" s="790"/>
      <c r="O5" s="790"/>
    </row>
    <row r="6" spans="1:15" ht="6" customHeight="1" thickTop="1"/>
    <row r="7" spans="1:15" s="791" customFormat="1" ht="20.100000000000001" customHeight="1">
      <c r="A7" s="1117"/>
      <c r="C7" s="792" t="s">
        <v>453</v>
      </c>
      <c r="D7" s="792"/>
      <c r="E7" s="792" t="s">
        <v>454</v>
      </c>
      <c r="F7" s="792"/>
      <c r="G7" s="792" t="s">
        <v>455</v>
      </c>
      <c r="H7" s="792"/>
      <c r="I7" s="792" t="s">
        <v>510</v>
      </c>
      <c r="J7" s="792"/>
      <c r="K7" s="792" t="s">
        <v>456</v>
      </c>
      <c r="L7" s="792"/>
      <c r="M7" s="792" t="s">
        <v>457</v>
      </c>
      <c r="N7" s="792"/>
      <c r="O7" s="792" t="s">
        <v>458</v>
      </c>
    </row>
    <row r="8" spans="1:15" ht="6" customHeight="1"/>
    <row r="9" spans="1:15" s="793" customFormat="1" ht="25.5" customHeight="1">
      <c r="A9" s="1118">
        <v>1</v>
      </c>
      <c r="C9" s="793" t="s">
        <v>459</v>
      </c>
      <c r="E9" s="793" t="s">
        <v>460</v>
      </c>
      <c r="G9" s="793" t="s">
        <v>461</v>
      </c>
      <c r="I9" s="793" t="s">
        <v>462</v>
      </c>
      <c r="K9" s="793" t="s">
        <v>462</v>
      </c>
      <c r="M9" s="793" t="s">
        <v>463</v>
      </c>
      <c r="O9" s="794" t="s">
        <v>464</v>
      </c>
    </row>
    <row r="10" spans="1:15" s="795" customFormat="1" ht="25.5" customHeight="1">
      <c r="A10" s="1118">
        <v>0</v>
      </c>
      <c r="C10" s="793" t="s">
        <v>465</v>
      </c>
      <c r="D10" s="793"/>
      <c r="E10" s="793" t="s">
        <v>466</v>
      </c>
      <c r="F10" s="793"/>
      <c r="G10" s="793" t="s">
        <v>467</v>
      </c>
      <c r="H10" s="793"/>
      <c r="I10" s="793" t="s">
        <v>468</v>
      </c>
      <c r="J10" s="793"/>
      <c r="K10" s="793" t="s">
        <v>468</v>
      </c>
      <c r="L10" s="793"/>
      <c r="M10" s="793" t="s">
        <v>469</v>
      </c>
      <c r="N10" s="793"/>
      <c r="O10" s="794" t="s">
        <v>470</v>
      </c>
    </row>
    <row r="11" spans="1:15" s="793" customFormat="1" ht="25.5" customHeight="1">
      <c r="A11" s="1118">
        <v>1</v>
      </c>
      <c r="C11" s="793" t="s">
        <v>471</v>
      </c>
      <c r="E11" s="793" t="s">
        <v>472</v>
      </c>
      <c r="G11" s="793" t="s">
        <v>473</v>
      </c>
      <c r="I11" s="793" t="s">
        <v>474</v>
      </c>
      <c r="K11" s="793" t="s">
        <v>474</v>
      </c>
      <c r="M11" s="793" t="s">
        <v>475</v>
      </c>
      <c r="O11" s="794" t="s">
        <v>476</v>
      </c>
    </row>
    <row r="12" spans="1:15" s="793" customFormat="1" ht="25.5" customHeight="1">
      <c r="A12" s="1118">
        <v>0</v>
      </c>
      <c r="C12" s="793" t="s">
        <v>477</v>
      </c>
      <c r="E12" s="793" t="s">
        <v>478</v>
      </c>
      <c r="G12" s="793" t="s">
        <v>479</v>
      </c>
      <c r="I12" s="793" t="s">
        <v>480</v>
      </c>
      <c r="K12" s="793" t="s">
        <v>480</v>
      </c>
      <c r="M12" s="793" t="s">
        <v>481</v>
      </c>
      <c r="O12" s="796" t="s">
        <v>459</v>
      </c>
    </row>
    <row r="13" spans="1:15" s="793" customFormat="1" ht="25.5" customHeight="1">
      <c r="A13" s="1118">
        <v>1</v>
      </c>
      <c r="C13" s="793" t="s">
        <v>483</v>
      </c>
      <c r="E13" s="793" t="s">
        <v>484</v>
      </c>
      <c r="I13" s="793" t="s">
        <v>485</v>
      </c>
      <c r="K13" s="793" t="s">
        <v>485</v>
      </c>
      <c r="M13" s="793" t="s">
        <v>486</v>
      </c>
      <c r="O13" s="796" t="s">
        <v>489</v>
      </c>
    </row>
    <row r="14" spans="1:15" s="793" customFormat="1" ht="25.5" customHeight="1">
      <c r="A14" s="1118">
        <v>0</v>
      </c>
      <c r="E14" s="793" t="s">
        <v>487</v>
      </c>
      <c r="I14" s="793" t="s">
        <v>488</v>
      </c>
      <c r="K14" s="793" t="s">
        <v>488</v>
      </c>
      <c r="M14" s="793" t="s">
        <v>460</v>
      </c>
      <c r="O14" s="796" t="s">
        <v>491</v>
      </c>
    </row>
    <row r="15" spans="1:15" s="793" customFormat="1" ht="25.5" customHeight="1">
      <c r="A15" s="1118">
        <v>1</v>
      </c>
      <c r="E15" s="793" t="s">
        <v>490</v>
      </c>
      <c r="M15" s="793" t="s">
        <v>478</v>
      </c>
      <c r="O15" s="796" t="s">
        <v>493</v>
      </c>
    </row>
    <row r="16" spans="1:15" s="793" customFormat="1" ht="25.5" customHeight="1">
      <c r="A16" s="1118">
        <v>0</v>
      </c>
      <c r="M16" s="793" t="s">
        <v>492</v>
      </c>
      <c r="O16" s="796" t="s">
        <v>495</v>
      </c>
    </row>
    <row r="17" spans="1:15" s="793" customFormat="1" ht="25.5" customHeight="1">
      <c r="A17" s="1118">
        <v>1</v>
      </c>
      <c r="M17" s="793" t="s">
        <v>494</v>
      </c>
      <c r="O17" s="796"/>
    </row>
    <row r="18" spans="1:15" s="793" customFormat="1" ht="25.5" customHeight="1">
      <c r="A18" s="1118">
        <v>0</v>
      </c>
      <c r="M18" s="793" t="s">
        <v>496</v>
      </c>
    </row>
    <row r="19" spans="1:15" s="793" customFormat="1" ht="6" customHeight="1" thickBot="1">
      <c r="A19" s="1118"/>
      <c r="C19" s="797"/>
      <c r="D19" s="797"/>
      <c r="E19" s="797"/>
      <c r="F19" s="797"/>
      <c r="G19" s="797"/>
      <c r="H19" s="797"/>
      <c r="I19" s="797"/>
      <c r="J19" s="797"/>
      <c r="K19" s="797"/>
      <c r="L19" s="797"/>
      <c r="M19" s="797"/>
      <c r="N19" s="797"/>
      <c r="O19" s="797"/>
    </row>
    <row r="20" spans="1:15" s="793" customFormat="1" ht="6" customHeight="1" thickTop="1">
      <c r="A20" s="1118"/>
      <c r="C20" s="789"/>
      <c r="D20" s="789"/>
      <c r="E20" s="789"/>
      <c r="F20" s="789"/>
      <c r="G20" s="789"/>
      <c r="H20" s="789"/>
      <c r="I20" s="789"/>
      <c r="J20" s="789"/>
      <c r="K20" s="789"/>
      <c r="L20" s="789"/>
      <c r="M20" s="789"/>
      <c r="N20" s="789"/>
      <c r="O20" s="789"/>
    </row>
    <row r="21" spans="1:15" s="793" customFormat="1">
      <c r="A21" s="1118"/>
      <c r="C21" s="798" t="s">
        <v>497</v>
      </c>
      <c r="D21" s="789"/>
      <c r="E21" s="789"/>
      <c r="F21" s="789"/>
      <c r="G21" s="789"/>
      <c r="H21" s="789"/>
      <c r="I21" s="789"/>
      <c r="J21" s="789"/>
      <c r="K21" s="789"/>
      <c r="L21" s="789"/>
      <c r="M21" s="789"/>
      <c r="N21" s="789"/>
      <c r="O21" s="789"/>
    </row>
    <row r="22" spans="1:15" s="793" customFormat="1">
      <c r="A22" s="1118"/>
      <c r="C22" s="799" t="s">
        <v>498</v>
      </c>
      <c r="D22" s="789"/>
      <c r="E22" s="789"/>
      <c r="F22" s="789"/>
      <c r="G22" s="789"/>
      <c r="H22" s="789"/>
      <c r="I22" s="789"/>
      <c r="J22" s="789"/>
      <c r="K22" s="789"/>
      <c r="L22" s="789"/>
      <c r="M22" s="789"/>
      <c r="N22" s="789"/>
      <c r="O22" s="789"/>
    </row>
    <row r="23" spans="1:15">
      <c r="C23" s="799" t="s">
        <v>499</v>
      </c>
    </row>
    <row r="24" spans="1:15">
      <c r="C24" s="799" t="s">
        <v>500</v>
      </c>
      <c r="M24" s="793"/>
      <c r="O24" s="793"/>
    </row>
    <row r="25" spans="1:15">
      <c r="C25" s="799" t="s">
        <v>501</v>
      </c>
    </row>
    <row r="26" spans="1:15">
      <c r="C26" s="799" t="s">
        <v>502</v>
      </c>
    </row>
    <row r="27" spans="1:15">
      <c r="C27" s="799" t="s">
        <v>503</v>
      </c>
    </row>
    <row r="28" spans="1:15">
      <c r="B28" s="800"/>
      <c r="C28" s="799" t="s">
        <v>504</v>
      </c>
    </row>
    <row r="29" spans="1:15">
      <c r="B29" s="800"/>
      <c r="C29" s="801" t="s">
        <v>505</v>
      </c>
    </row>
    <row r="30" spans="1:15">
      <c r="B30" s="800"/>
      <c r="C30" s="799" t="s">
        <v>506</v>
      </c>
    </row>
    <row r="31" spans="1:15">
      <c r="B31" s="800"/>
      <c r="C31" s="802" t="s">
        <v>507</v>
      </c>
    </row>
    <row r="32" spans="1:15">
      <c r="B32" s="800"/>
      <c r="C32" s="799" t="s">
        <v>508</v>
      </c>
    </row>
  </sheetData>
  <conditionalFormatting sqref="C9:M18">
    <cfRule type="expression" dxfId="7" priority="3">
      <formula>$A9=1</formula>
    </cfRule>
  </conditionalFormatting>
  <conditionalFormatting sqref="O9:O18">
    <cfRule type="expression" dxfId="6" priority="2">
      <formula>$A9=1</formula>
    </cfRule>
  </conditionalFormatting>
  <conditionalFormatting sqref="N9:N18">
    <cfRule type="expression" dxfId="5" priority="1">
      <formula>$A9=1</formula>
    </cfRule>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theme="2" tint="-0.499984740745262"/>
  </sheetPr>
  <dimension ref="A1:BJ30"/>
  <sheetViews>
    <sheetView topLeftCell="B1" zoomScaleNormal="100" workbookViewId="0">
      <selection activeCell="E29" sqref="E29"/>
    </sheetView>
  </sheetViews>
  <sheetFormatPr defaultRowHeight="12.75" outlineLevelCol="1"/>
  <cols>
    <col min="1" max="1" width="6.140625" style="803" hidden="1" customWidth="1" outlineLevel="1"/>
    <col min="2" max="2" width="9.85546875" style="804" bestFit="1" customWidth="1" collapsed="1"/>
    <col min="3" max="3" width="21.140625" style="764" customWidth="1"/>
    <col min="4" max="4" width="11" style="776" bestFit="1" customWidth="1"/>
    <col min="5" max="5" width="13.7109375" style="776" customWidth="1"/>
    <col min="6" max="6" width="1.7109375" style="776" customWidth="1"/>
    <col min="7" max="11" width="13.7109375" style="806" customWidth="1"/>
    <col min="12" max="61" width="13.7109375" style="764" customWidth="1"/>
    <col min="62" max="16384" width="9.140625" style="764"/>
  </cols>
  <sheetData>
    <row r="1" spans="1:62">
      <c r="B1" s="826" t="s">
        <v>91</v>
      </c>
      <c r="C1" s="126" t="str">
        <f>'ORTP Summary'!C1</f>
        <v>ISO-NE ORTP 2013 Study</v>
      </c>
    </row>
    <row r="2" spans="1:62">
      <c r="B2" s="826" t="s">
        <v>92</v>
      </c>
      <c r="C2" s="830" t="s">
        <v>113</v>
      </c>
      <c r="D2" s="805"/>
      <c r="E2" s="805"/>
      <c r="F2" s="805"/>
    </row>
    <row r="3" spans="1:62">
      <c r="B3" s="826" t="s">
        <v>114</v>
      </c>
      <c r="C3" s="831" t="s">
        <v>821</v>
      </c>
    </row>
    <row r="4" spans="1:62">
      <c r="B4" s="826"/>
      <c r="C4" s="831"/>
    </row>
    <row r="5" spans="1:62">
      <c r="E5" s="1115" t="s">
        <v>234</v>
      </c>
      <c r="G5" s="1355" t="s">
        <v>509</v>
      </c>
      <c r="H5" s="1355"/>
      <c r="I5" s="1355"/>
      <c r="J5" s="1355"/>
      <c r="K5" s="1355"/>
      <c r="L5" s="1356" t="s">
        <v>454</v>
      </c>
      <c r="M5" s="1356"/>
      <c r="N5" s="1356"/>
      <c r="O5" s="1356"/>
      <c r="P5" s="1356"/>
      <c r="Q5" s="1356"/>
      <c r="R5" s="1356"/>
      <c r="S5" s="1356"/>
      <c r="T5" s="1354" t="s">
        <v>455</v>
      </c>
      <c r="U5" s="1354"/>
      <c r="V5" s="1354"/>
      <c r="W5" s="1354"/>
      <c r="X5" s="1357" t="s">
        <v>510</v>
      </c>
      <c r="Y5" s="1358"/>
      <c r="Z5" s="1358"/>
      <c r="AA5" s="1358"/>
      <c r="AB5" s="1358"/>
      <c r="AC5" s="1358"/>
      <c r="AD5" s="1358"/>
      <c r="AE5" s="1359" t="s">
        <v>511</v>
      </c>
      <c r="AF5" s="1359"/>
      <c r="AG5" s="1359"/>
      <c r="AH5" s="1359"/>
      <c r="AI5" s="1359"/>
      <c r="AJ5" s="1359"/>
      <c r="AK5" s="1359"/>
      <c r="AL5" s="1360" t="s">
        <v>512</v>
      </c>
      <c r="AM5" s="1360"/>
      <c r="AN5" s="1360"/>
      <c r="AO5" s="1360"/>
      <c r="AP5" s="1360"/>
      <c r="AQ5" s="1360"/>
      <c r="AR5" s="1360"/>
      <c r="AS5" s="1360"/>
      <c r="AT5" s="1360"/>
      <c r="AU5" s="1360"/>
      <c r="AV5" s="1360"/>
      <c r="AW5" s="1360"/>
      <c r="AX5" s="1360"/>
      <c r="AY5" s="1360"/>
      <c r="AZ5" s="1360"/>
      <c r="BA5" s="1354" t="s">
        <v>458</v>
      </c>
      <c r="BB5" s="1354"/>
      <c r="BC5" s="1354"/>
      <c r="BD5" s="1354"/>
      <c r="BE5" s="1354"/>
      <c r="BF5" s="1354"/>
      <c r="BG5" s="1354"/>
      <c r="BH5" s="1354"/>
      <c r="BI5" s="1354"/>
    </row>
    <row r="6" spans="1:62" s="786" customFormat="1" ht="64.5">
      <c r="A6" s="1109"/>
      <c r="B6" s="1110"/>
      <c r="D6" s="1108"/>
      <c r="E6" s="1111" t="s">
        <v>513</v>
      </c>
      <c r="F6" s="1111"/>
      <c r="G6" s="1112" t="s">
        <v>459</v>
      </c>
      <c r="H6" s="1112" t="s">
        <v>514</v>
      </c>
      <c r="I6" s="1112" t="s">
        <v>515</v>
      </c>
      <c r="J6" s="1112" t="s">
        <v>471</v>
      </c>
      <c r="K6" s="1112" t="s">
        <v>477</v>
      </c>
      <c r="L6" s="1112" t="s">
        <v>466</v>
      </c>
      <c r="M6" s="1112" t="s">
        <v>472</v>
      </c>
      <c r="N6" s="1112" t="s">
        <v>478</v>
      </c>
      <c r="O6" s="1112" t="s">
        <v>516</v>
      </c>
      <c r="P6" s="1112" t="s">
        <v>460</v>
      </c>
      <c r="Q6" s="1112" t="s">
        <v>484</v>
      </c>
      <c r="R6" s="1112" t="s">
        <v>487</v>
      </c>
      <c r="S6" s="1112" t="s">
        <v>490</v>
      </c>
      <c r="T6" s="1113" t="s">
        <v>473</v>
      </c>
      <c r="U6" s="1113" t="s">
        <v>461</v>
      </c>
      <c r="V6" s="1113" t="s">
        <v>467</v>
      </c>
      <c r="W6" s="1113" t="s">
        <v>479</v>
      </c>
      <c r="X6" s="1112" t="s">
        <v>517</v>
      </c>
      <c r="Y6" s="1114" t="s">
        <v>459</v>
      </c>
      <c r="Z6" s="1114" t="s">
        <v>474</v>
      </c>
      <c r="AA6" s="1114" t="s">
        <v>518</v>
      </c>
      <c r="AB6" s="1114" t="s">
        <v>480</v>
      </c>
      <c r="AC6" s="1114" t="s">
        <v>485</v>
      </c>
      <c r="AD6" s="1114" t="s">
        <v>488</v>
      </c>
      <c r="AE6" s="1114" t="s">
        <v>517</v>
      </c>
      <c r="AF6" s="1114" t="s">
        <v>459</v>
      </c>
      <c r="AG6" s="1114" t="s">
        <v>474</v>
      </c>
      <c r="AH6" s="1114" t="s">
        <v>518</v>
      </c>
      <c r="AI6" s="1114" t="s">
        <v>480</v>
      </c>
      <c r="AJ6" s="1114" t="s">
        <v>485</v>
      </c>
      <c r="AK6" s="1114" t="s">
        <v>488</v>
      </c>
      <c r="AL6" s="1114" t="s">
        <v>519</v>
      </c>
      <c r="AM6" s="1114" t="s">
        <v>520</v>
      </c>
      <c r="AN6" s="1114" t="s">
        <v>521</v>
      </c>
      <c r="AO6" s="1114" t="s">
        <v>481</v>
      </c>
      <c r="AP6" s="1114" t="s">
        <v>486</v>
      </c>
      <c r="AQ6" s="1114" t="s">
        <v>460</v>
      </c>
      <c r="AR6" s="1114" t="s">
        <v>478</v>
      </c>
      <c r="AS6" s="1114" t="s">
        <v>522</v>
      </c>
      <c r="AT6" s="1114" t="s">
        <v>523</v>
      </c>
      <c r="AU6" s="1114" t="s">
        <v>494</v>
      </c>
      <c r="AV6" s="1114" t="s">
        <v>524</v>
      </c>
      <c r="AW6" s="1114" t="s">
        <v>496</v>
      </c>
      <c r="AX6" s="1114" t="s">
        <v>525</v>
      </c>
      <c r="AY6" s="1114" t="s">
        <v>526</v>
      </c>
      <c r="AZ6" s="1114" t="s">
        <v>527</v>
      </c>
      <c r="BA6" s="1114" t="s">
        <v>464</v>
      </c>
      <c r="BB6" s="1114" t="s">
        <v>470</v>
      </c>
      <c r="BC6" s="1114" t="s">
        <v>476</v>
      </c>
      <c r="BD6" s="1114" t="s">
        <v>482</v>
      </c>
      <c r="BE6" s="1114" t="s">
        <v>459</v>
      </c>
      <c r="BF6" s="1114" t="s">
        <v>489</v>
      </c>
      <c r="BG6" s="1114" t="s">
        <v>528</v>
      </c>
      <c r="BH6" s="1114" t="s">
        <v>493</v>
      </c>
      <c r="BI6" s="1114" t="s">
        <v>495</v>
      </c>
    </row>
    <row r="7" spans="1:62">
      <c r="C7" s="807"/>
      <c r="D7" s="786" t="s">
        <v>162</v>
      </c>
      <c r="E7" s="808">
        <f>COUNTIF('State Programs Summary'!$G$7:$BI$7,1)</f>
        <v>49</v>
      </c>
      <c r="F7" s="805"/>
      <c r="G7" s="809">
        <v>1</v>
      </c>
      <c r="H7" s="809">
        <v>1</v>
      </c>
      <c r="I7" s="809">
        <v>1</v>
      </c>
      <c r="J7" s="809">
        <v>1</v>
      </c>
      <c r="K7" s="809">
        <v>1</v>
      </c>
      <c r="L7" s="809">
        <v>1</v>
      </c>
      <c r="M7" s="809">
        <v>1</v>
      </c>
      <c r="N7" s="809">
        <v>1</v>
      </c>
      <c r="O7" s="809">
        <v>0</v>
      </c>
      <c r="P7" s="809">
        <v>1</v>
      </c>
      <c r="Q7" s="809">
        <v>1</v>
      </c>
      <c r="R7" s="809">
        <v>1</v>
      </c>
      <c r="S7" s="809">
        <v>1</v>
      </c>
      <c r="T7" s="809">
        <v>1</v>
      </c>
      <c r="U7" s="809">
        <v>1</v>
      </c>
      <c r="V7" s="809">
        <v>1</v>
      </c>
      <c r="W7" s="809">
        <v>1</v>
      </c>
      <c r="X7" s="809">
        <v>1</v>
      </c>
      <c r="Y7" s="809">
        <v>1</v>
      </c>
      <c r="Z7" s="809">
        <v>1</v>
      </c>
      <c r="AA7" s="809">
        <v>0</v>
      </c>
      <c r="AB7" s="809">
        <v>1</v>
      </c>
      <c r="AC7" s="809">
        <v>1</v>
      </c>
      <c r="AD7" s="809">
        <v>1</v>
      </c>
      <c r="AE7" s="809">
        <v>1</v>
      </c>
      <c r="AF7" s="809">
        <v>1</v>
      </c>
      <c r="AG7" s="809">
        <v>1</v>
      </c>
      <c r="AH7" s="809">
        <v>0</v>
      </c>
      <c r="AI7" s="809">
        <v>1</v>
      </c>
      <c r="AJ7" s="809">
        <v>1</v>
      </c>
      <c r="AK7" s="809">
        <v>1</v>
      </c>
      <c r="AL7" s="809">
        <v>1</v>
      </c>
      <c r="AM7" s="809">
        <v>1</v>
      </c>
      <c r="AN7" s="809">
        <v>1</v>
      </c>
      <c r="AO7" s="809">
        <v>1</v>
      </c>
      <c r="AP7" s="809">
        <v>1</v>
      </c>
      <c r="AQ7" s="809">
        <v>1</v>
      </c>
      <c r="AR7" s="809">
        <v>1</v>
      </c>
      <c r="AS7" s="809">
        <v>1</v>
      </c>
      <c r="AT7" s="809">
        <v>1</v>
      </c>
      <c r="AU7" s="809">
        <v>1</v>
      </c>
      <c r="AV7" s="809">
        <v>1</v>
      </c>
      <c r="AW7" s="809">
        <v>1</v>
      </c>
      <c r="AX7" s="809">
        <v>1</v>
      </c>
      <c r="AY7" s="809">
        <v>0</v>
      </c>
      <c r="AZ7" s="809">
        <v>0</v>
      </c>
      <c r="BA7" s="809">
        <v>1</v>
      </c>
      <c r="BB7" s="809">
        <v>1</v>
      </c>
      <c r="BC7" s="809">
        <v>1</v>
      </c>
      <c r="BD7" s="809">
        <v>0</v>
      </c>
      <c r="BE7" s="809">
        <v>1</v>
      </c>
      <c r="BF7" s="809">
        <v>1</v>
      </c>
      <c r="BG7" s="809">
        <v>1</v>
      </c>
      <c r="BH7" s="809">
        <v>1</v>
      </c>
      <c r="BI7" s="809">
        <v>1</v>
      </c>
    </row>
    <row r="8" spans="1:62">
      <c r="D8" s="764"/>
      <c r="G8" s="810"/>
      <c r="H8" s="810"/>
      <c r="I8" s="810"/>
      <c r="J8" s="810"/>
      <c r="K8" s="810"/>
      <c r="L8" s="810"/>
      <c r="M8" s="810"/>
      <c r="N8" s="810"/>
      <c r="O8" s="810"/>
      <c r="P8" s="810"/>
      <c r="T8" s="810"/>
      <c r="U8" s="810"/>
      <c r="V8" s="810"/>
      <c r="X8" s="810"/>
      <c r="Y8" s="810"/>
      <c r="AE8" s="810"/>
      <c r="AL8" s="810"/>
      <c r="AM8" s="810"/>
      <c r="AN8" s="810"/>
    </row>
    <row r="9" spans="1:62">
      <c r="C9" s="811" t="s">
        <v>529</v>
      </c>
      <c r="D9" s="764"/>
      <c r="L9" s="812"/>
      <c r="M9" s="806"/>
      <c r="N9" s="806"/>
      <c r="O9" s="806"/>
      <c r="P9" s="806"/>
      <c r="Q9" s="806"/>
      <c r="R9" s="806"/>
      <c r="S9" s="806"/>
      <c r="T9" s="806"/>
      <c r="U9" s="806"/>
      <c r="V9" s="806"/>
      <c r="X9" s="806"/>
      <c r="Y9" s="806"/>
      <c r="AE9" s="806"/>
      <c r="AL9" s="806"/>
      <c r="AM9" s="806"/>
      <c r="AN9" s="806"/>
    </row>
    <row r="10" spans="1:62">
      <c r="C10" s="813" t="s">
        <v>530</v>
      </c>
      <c r="D10" s="765" t="s">
        <v>448</v>
      </c>
      <c r="E10" s="1066">
        <f>SUMIFS('State Programs Summary'!$G10:$BI10,'State Programs Summary'!$G$7:$BI$7,1)</f>
        <v>19669972.984999999</v>
      </c>
      <c r="F10" s="1066"/>
      <c r="G10" s="1066">
        <v>28373</v>
      </c>
      <c r="H10" s="1066">
        <v>263973</v>
      </c>
      <c r="I10" s="1066">
        <v>59026</v>
      </c>
      <c r="J10" s="1066">
        <v>238967</v>
      </c>
      <c r="K10" s="1066">
        <v>679360</v>
      </c>
      <c r="L10" s="1066">
        <f>INDEX('NH raw'!$D$9:$N$73,MATCH(L$6,'NH raw'!$D$9:$D$73,0),MATCH('NH raw'!$L$9,'NH raw'!$D$9:$L$9,0))</f>
        <v>13575.8</v>
      </c>
      <c r="M10" s="1066">
        <f>INDEX('NH raw'!$D$9:$N$73,MATCH(M$6,'NH raw'!$D$9:$D$73,0),MATCH('NH raw'!$L$9,'NH raw'!$D$9:$L$9,0))</f>
        <v>10698.2</v>
      </c>
      <c r="N10" s="1066">
        <f>INDEX('NH raw'!$D$9:$N$73,MATCH(N$6,'NH raw'!$D$9:$D$73,0),MATCH('NH raw'!$L$9,'NH raw'!$D$9:$L$9,0))</f>
        <v>28834.199999999997</v>
      </c>
      <c r="O10" s="1066">
        <f>INDEX('NH raw'!$D$9:$N$73,MATCH(O$6,'NH raw'!$D$9:$D$73,0),MATCH('NH raw'!$L$9,'NH raw'!$D$9:$L$9,0))</f>
        <v>20168.400000000001</v>
      </c>
      <c r="P10" s="1066">
        <f>INDEX('NH raw'!$D$9:$N$73,MATCH(P$6,'NH raw'!$D$9:$D$73,0),MATCH('NH raw'!$L$9,'NH raw'!$D$9:$L$9,0))</f>
        <v>62427.899999999994</v>
      </c>
      <c r="Q10" s="1066">
        <f>INDEX('NH raw'!$D$9:$N$73,MATCH(Q$6,'NH raw'!$D$9:$D$73,0),MATCH('NH raw'!$L$9,'NH raw'!$D$9:$L$9,0))</f>
        <v>95601.8</v>
      </c>
      <c r="R10" s="1066">
        <f>INDEX('NH raw'!$D$9:$N$73,MATCH(R$6,'NH raw'!$D$9:$D$73,0),MATCH('NH raw'!$L$9,'NH raw'!$D$9:$L$9,0))</f>
        <v>206040.8</v>
      </c>
      <c r="S10" s="1066">
        <f>INDEX('NH raw'!$D$9:$N$73,MATCH(S$6,'NH raw'!$D$9:$D$73,0),MATCH('NH raw'!$L$9,'NH raw'!$D$9:$L$9,0))</f>
        <v>117850.09999999999</v>
      </c>
      <c r="T10" s="1066">
        <f>INDEX('ME raw'!$B$18:$I$29,MATCH(T$6,'ME raw'!$B$18:$B$29,0),MATCH($C10,'ME raw'!$B$18:$I$18,0))/1000</f>
        <v>592752.86600000004</v>
      </c>
      <c r="U10" s="1066">
        <f>INDEX('ME raw'!$B$18:$I$29,MATCH(U$6,'ME raw'!$B$18:$B$29,0),MATCH($C10,'ME raw'!$B$18:$I$18,0))/1000</f>
        <v>682426.71799999999</v>
      </c>
      <c r="V10" s="1066">
        <f>INDEX('ME raw'!$B$18:$I$29,MATCH(V$6,'ME raw'!$B$18:$B$29,0),MATCH($C10,'ME raw'!$B$18:$I$18,0))/1000</f>
        <v>60675</v>
      </c>
      <c r="W10" s="1066">
        <f>INDEX('ME raw'!$B$18:$I$29,MATCH(W$6,'ME raw'!$B$18:$B$29,0),MATCH($C10,'ME raw'!$B$18:$I$18,0))/1000</f>
        <v>467859.11800000002</v>
      </c>
      <c r="X10" s="1066">
        <f>INDEX('CT CLP raw'!$B$1:$O$25,MATCH(X$6,'CT CLP raw'!$B$1:$B$23,0),MATCH($C10,'CT CLP raw'!$B$9:$O$9,0))</f>
        <v>214581</v>
      </c>
      <c r="Y10" s="1066">
        <f>INDEX('CT CLP raw'!$B$1:$O$25,MATCH(Y$6,'CT CLP raw'!$B$1:$B$23,0),MATCH($C10,'CT CLP raw'!$B$9:$O$9,0))</f>
        <v>29901</v>
      </c>
      <c r="Z10" s="1066">
        <f>INDEX('CT CLP raw'!$B$1:$O$25,MATCH(Z$6,'CT CLP raw'!$B$1:$B$23,0),MATCH($C10,'CT CLP raw'!$B$9:$O$9,0))</f>
        <v>259149</v>
      </c>
      <c r="AA10" s="1066">
        <f>INDEX('CT CLP raw'!$B$1:$O$25,MATCH(AA$6,'CT CLP raw'!$B$1:$B$23,0),MATCH($C10,'CT CLP raw'!$B$9:$O$9,0))</f>
        <v>116400</v>
      </c>
      <c r="AB10" s="1066">
        <f>INDEX('CT CLP raw'!$B$1:$O$25,MATCH(AB$6,'CT CLP raw'!$B$1:$B$23,0),MATCH($C10,'CT CLP raw'!$B$9:$O$9,0))</f>
        <v>307732</v>
      </c>
      <c r="AC10" s="1066">
        <f>INDEX('CT CLP raw'!$B$1:$O$25,MATCH(AC$6,'CT CLP raw'!$B$1:$B$23,0),MATCH($C10,'CT CLP raw'!$B$9:$O$9,0))</f>
        <v>675031</v>
      </c>
      <c r="AD10" s="1066">
        <f>INDEX('CT CLP raw'!$B$1:$O$25,MATCH(AD$6,'CT CLP raw'!$B$1:$B$23,0),MATCH($C10,'CT CLP raw'!$B$9:$O$9,0))</f>
        <v>344349</v>
      </c>
      <c r="AE10" s="1066">
        <f>INDEX('CT UI raw'!$B$8:$Q$26,MATCH(AE$6,'CT UI raw'!$B$8:$B$26,0),MATCH('CT UI raw'!$O$8,'CT UI raw'!$B$8:$Q$8,0))/1000</f>
        <v>72381.047000000006</v>
      </c>
      <c r="AF10" s="1066">
        <f>INDEX('CT UI raw'!$B$8:$Q$26,MATCH(AF$6,'CT UI raw'!$B$8:$B$26,0),MATCH('CT UI raw'!$O$8,'CT UI raw'!$B$8:$Q$8,0))/1000</f>
        <v>2941.2849999999999</v>
      </c>
      <c r="AG10" s="1066">
        <f>INDEX('CT UI raw'!$B$8:$Q$26,MATCH(AG$6,'CT UI raw'!$B$8:$B$26,0),MATCH('CT UI raw'!$O$8,'CT UI raw'!$B$8:$Q$8,0))/1000</f>
        <v>41625.953999999998</v>
      </c>
      <c r="AH10" s="1066">
        <f>INDEX('CT UI raw'!$B$8:$Q$26,MATCH(AH$6,'CT UI raw'!$B$8:$B$26,0),MATCH('CT UI raw'!$O$8,'CT UI raw'!$B$8:$Q$8,0))/1000</f>
        <v>40277.158000000003</v>
      </c>
      <c r="AI10" s="1066">
        <f>INDEX('CT UI raw'!$B$8:$Q$26,MATCH(AI$6,'CT UI raw'!$B$8:$B$26,0),MATCH('CT UI raw'!$O$8,'CT UI raw'!$B$8:$Q$8,0))/1000</f>
        <v>103249.39</v>
      </c>
      <c r="AJ10" s="1066">
        <f>INDEX('CT UI raw'!$B$8:$Q$26,MATCH(AJ$6,'CT UI raw'!$B$8:$B$26,0),MATCH('CT UI raw'!$O$8,'CT UI raw'!$B$8:$Q$8,0))/1000</f>
        <v>127722.819</v>
      </c>
      <c r="AK10" s="1066">
        <f>INDEX('CT UI raw'!$B$8:$Q$26,MATCH(AK$6,'CT UI raw'!$B$8:$B$26,0),MATCH('CT UI raw'!$O$8,'CT UI raw'!$B$8:$Q$8,0))/1000</f>
        <v>64551.987999999998</v>
      </c>
      <c r="AL10" s="1066">
        <f>INDEX('MA raw'!$B$1:$L$35,MATCH(AL$6,'MA raw'!$B$1:$B$35,0),MATCH('MA raw'!$L$8,'MA raw'!$B$8:$L$8,0))</f>
        <v>47189</v>
      </c>
      <c r="AM10" s="1066">
        <f>INDEX('MA raw'!$B$1:$L$35,MATCH(AM$6,'MA raw'!$B$1:$B$35,0),MATCH('MA raw'!$L$8,'MA raw'!$B$8:$L$8,0))</f>
        <v>62973</v>
      </c>
      <c r="AN10" s="1066">
        <f>INDEX('MA raw'!$B$1:$L$35,MATCH(AN$6,'MA raw'!$B$1:$B$35,0),MATCH('MA raw'!$L$8,'MA raw'!$B$8:$L$8,0))</f>
        <v>326349</v>
      </c>
      <c r="AO10" s="1066">
        <f>INDEX('MA raw'!$B$1:$L$35,MATCH(AO$6,'MA raw'!$B$1:$B$35,0),MATCH('MA raw'!$L$8,'MA raw'!$B$8:$L$8,0))</f>
        <v>461131</v>
      </c>
      <c r="AP10" s="1066">
        <f>INDEX('MA raw'!$B$1:$L$35,MATCH(AP$6,'MA raw'!$B$1:$B$35,0),MATCH('MA raw'!$L$8,'MA raw'!$B$8:$L$8,0))</f>
        <v>74520</v>
      </c>
      <c r="AQ10" s="1066">
        <f>INDEX('MA raw'!$B$1:$L$35,MATCH(AQ$6,'MA raw'!$B$1:$B$35,0),MATCH('MA raw'!$L$8,'MA raw'!$B$8:$L$8,0))</f>
        <v>711476</v>
      </c>
      <c r="AR10" s="1066">
        <f>INDEX('MA raw'!$B$1:$L$35,MATCH(AR$6,'MA raw'!$B$1:$B$35,0),MATCH('MA raw'!$L$8,'MA raw'!$B$8:$L$8,0))</f>
        <v>148249</v>
      </c>
      <c r="AS10" s="1066">
        <f>INDEX('MA raw'!$B$1:$L$35,MATCH(AS$6,'MA raw'!$B$1:$B$35,0),MATCH('MA raw'!$L$8,'MA raw'!$B$8:$L$8,0))</f>
        <v>2279915</v>
      </c>
      <c r="AT10" s="1066">
        <f>INDEX('MA raw'!$B$1:$L$35,MATCH(AT$6,'MA raw'!$B$1:$B$35,0),MATCH('MA raw'!$L$8,'MA raw'!$B$8:$L$8,0))</f>
        <v>39882</v>
      </c>
      <c r="AU10" s="1066">
        <f>INDEX('MA raw'!$B$1:$L$35,MATCH(AU$6,'MA raw'!$B$1:$B$35,0),MATCH('MA raw'!$L$8,'MA raw'!$B$8:$L$8,0))</f>
        <v>6456260</v>
      </c>
      <c r="AV10" s="1066">
        <f>INDEX('MA raw'!$B$1:$L$35,MATCH(AV$6,'MA raw'!$B$1:$B$35,0),MATCH('MA raw'!$L$8,'MA raw'!$B$8:$L$8,0))</f>
        <v>23308</v>
      </c>
      <c r="AW10" s="1066">
        <f>INDEX('MA raw'!$B$1:$L$35,MATCH(AW$6,'MA raw'!$B$1:$B$35,0),MATCH('MA raw'!$L$8,'MA raw'!$B$8:$L$8,0))</f>
        <v>1730058</v>
      </c>
      <c r="AX10" s="1066">
        <f>INDEX('MA raw'!$B$1:$L$35,MATCH(AX$6,'MA raw'!$B$1:$B$35,0),MATCH('MA raw'!$L$8,'MA raw'!$B$8:$L$8,0))</f>
        <v>70165</v>
      </c>
      <c r="AY10" s="1066">
        <f>INDEX('MA raw'!$B$1:$L$35,MATCH(AY$6,'MA raw'!$B$1:$B$35,0),MATCH('MA raw'!$L$8,'MA raw'!$B$8:$L$8,0))</f>
        <v>7348</v>
      </c>
      <c r="AZ10" s="1066">
        <f>INDEX('MA raw'!$B$1:$L$35,MATCH(AZ$6,'MA raw'!$B$1:$B$35,0),MATCH('MA raw'!$L$8,'MA raw'!$B$8:$L$8,0))</f>
        <v>477111</v>
      </c>
      <c r="BA10" s="1066">
        <f>INDEX('RI raw'!$B$33:$G$44,MATCH('State Programs Summary'!BA$6,'RI raw'!$B$33:$B$44,0),6)</f>
        <v>324394</v>
      </c>
      <c r="BB10" s="1066">
        <f>INDEX('RI raw'!$B$33:$G$44,MATCH('State Programs Summary'!BB$6,'RI raw'!$B$33:$B$44,0),6)</f>
        <v>486584</v>
      </c>
      <c r="BC10" s="1066">
        <f>INDEX('RI raw'!$B$33:$G$44,MATCH('State Programs Summary'!BC$6,'RI raw'!$B$33:$B$44,0),6)</f>
        <v>252295</v>
      </c>
      <c r="BD10" s="1066">
        <f>INDEX('RI raw'!$B$33:$G$44,MATCH('State Programs Summary'!BD$6,'RI raw'!$B$33:$B$44,0),6)</f>
        <v>44539</v>
      </c>
      <c r="BE10" s="1066">
        <f>INDEX('RI raw'!$B$33:$G$44,MATCH('State Programs Summary'!BE$6,'RI raw'!$B$33:$B$44,0),6)</f>
        <v>10153</v>
      </c>
      <c r="BF10" s="1066">
        <f>INDEX('RI raw'!$B$33:$G$44,MATCH('State Programs Summary'!BF$6,'RI raw'!$B$33:$B$44,0),6)</f>
        <v>24067</v>
      </c>
      <c r="BG10" s="1066">
        <f>INDEX('RI raw'!$B$33:$G$44,MATCH('State Programs Summary'!BG$6,'RI raw'!$B$33:$B$44,0),6)</f>
        <v>95369</v>
      </c>
      <c r="BH10" s="1066">
        <f>INDEX('RI raw'!$B$33:$G$44,MATCH('State Programs Summary'!BH$6,'RI raw'!$B$33:$B$44,0),6)</f>
        <v>154987</v>
      </c>
      <c r="BI10" s="1066">
        <f>INDEX('RI raw'!$B$33:$G$44,MATCH('State Programs Summary'!BI$6,'RI raw'!$B$33:$B$44,0),6)</f>
        <v>38992</v>
      </c>
    </row>
    <row r="11" spans="1:62">
      <c r="C11" s="813" t="s">
        <v>531</v>
      </c>
      <c r="D11" s="765" t="s">
        <v>448</v>
      </c>
      <c r="E11" s="1066">
        <f>SUMIFS('State Programs Summary'!$G11:$BI11,'State Programs Summary'!$G$7:$BI$7,1)</f>
        <v>1797835.8730000001</v>
      </c>
      <c r="F11" s="1066"/>
      <c r="G11" s="1066">
        <v>1624</v>
      </c>
      <c r="H11" s="1066">
        <v>36802</v>
      </c>
      <c r="I11" s="1066">
        <v>4167</v>
      </c>
      <c r="J11" s="1066">
        <v>16047</v>
      </c>
      <c r="K11" s="1066">
        <v>54745</v>
      </c>
      <c r="L11" s="1066">
        <f>INDEX('NH raw'!$D$9:$N$73,MATCH(L$6,'NH raw'!$D$9:$D$73,0),MATCH('NH raw'!$M$9,'NH raw'!$D$9:$M$9,0))</f>
        <v>846.5</v>
      </c>
      <c r="M11" s="1066">
        <f>INDEX('NH raw'!$D$9:$N$73,MATCH(M$6,'NH raw'!$D$9:$D$73,0),MATCH('NH raw'!$M$9,'NH raw'!$D$9:$M$9,0))</f>
        <v>960.8</v>
      </c>
      <c r="N11" s="1066">
        <f>INDEX('NH raw'!$D$9:$N$73,MATCH(N$6,'NH raw'!$D$9:$D$73,0),MATCH('NH raw'!$M$9,'NH raw'!$D$9:$M$9,0))</f>
        <v>2813.4</v>
      </c>
      <c r="O11" s="1066">
        <f>INDEX('NH raw'!$D$9:$N$73,MATCH(O$6,'NH raw'!$D$9:$D$73,0),MATCH('NH raw'!$M$9,'NH raw'!$D$9:$M$9,0))</f>
        <v>1359.8</v>
      </c>
      <c r="P11" s="1066">
        <f>INDEX('NH raw'!$D$9:$N$73,MATCH(P$6,'NH raw'!$D$9:$D$73,0),MATCH('NH raw'!$M$9,'NH raw'!$D$9:$M$9,0))</f>
        <v>12054</v>
      </c>
      <c r="Q11" s="1066">
        <f>INDEX('NH raw'!$D$9:$N$73,MATCH(Q$6,'NH raw'!$D$9:$D$73,0),MATCH('NH raw'!$M$9,'NH raw'!$D$9:$M$9,0))</f>
        <v>6695.0999999999995</v>
      </c>
      <c r="R11" s="1066">
        <f>INDEX('NH raw'!$D$9:$N$73,MATCH(R$6,'NH raw'!$D$9:$D$73,0),MATCH('NH raw'!$M$9,'NH raw'!$D$9:$M$9,0))</f>
        <v>16194.7</v>
      </c>
      <c r="S11" s="1066">
        <f>INDEX('NH raw'!$D$9:$N$73,MATCH(S$6,'NH raw'!$D$9:$D$73,0),MATCH('NH raw'!$M$9,'NH raw'!$D$9:$M$9,0))</f>
        <v>9591.6</v>
      </c>
      <c r="T11" s="1066">
        <f>INDEX('ME raw'!$B$18:$I$29,MATCH(T$6,'ME raw'!$B$18:$B$29,0),MATCH($C11,'ME raw'!$B$18:$I$18,0))/1000</f>
        <v>40565.749000000003</v>
      </c>
      <c r="U11" s="1066">
        <f>INDEX('ME raw'!$B$18:$I$29,MATCH(U$6,'ME raw'!$B$18:$B$29,0),MATCH($C11,'ME raw'!$B$18:$I$18,0))/1000</f>
        <v>134912.74100000001</v>
      </c>
      <c r="V11" s="1066">
        <f>INDEX('ME raw'!$B$18:$I$29,MATCH(V$6,'ME raw'!$B$18:$B$29,0),MATCH($C11,'ME raw'!$B$18:$I$18,0))/1000</f>
        <v>5332</v>
      </c>
      <c r="W11" s="1066">
        <f>INDEX('ME raw'!$B$18:$I$29,MATCH(W$6,'ME raw'!$B$18:$B$29,0),MATCH($C11,'ME raw'!$B$18:$I$18,0))/1000</f>
        <v>40685.233</v>
      </c>
      <c r="X11" s="1066">
        <f>INDEX('CT CLP raw'!$B$1:$O$25,MATCH(X$6,'CT CLP raw'!$B$1:$B$23,0),MATCH($C11,'CT CLP raw'!$B$9:$O$9,0))</f>
        <v>45894</v>
      </c>
      <c r="Y11" s="1066">
        <f>INDEX('CT CLP raw'!$B$1:$O$25,MATCH(Y$6,'CT CLP raw'!$B$1:$B$23,0),MATCH($C11,'CT CLP raw'!$B$9:$O$9,0))</f>
        <v>1718</v>
      </c>
      <c r="Z11" s="1066">
        <f>INDEX('CT CLP raw'!$B$1:$O$25,MATCH(Z$6,'CT CLP raw'!$B$1:$B$23,0),MATCH($C11,'CT CLP raw'!$B$9:$O$9,0))</f>
        <v>19832</v>
      </c>
      <c r="AA11" s="1066">
        <f>INDEX('CT CLP raw'!$B$1:$O$25,MATCH(AA$6,'CT CLP raw'!$B$1:$B$23,0),MATCH($C11,'CT CLP raw'!$B$9:$O$9,0))</f>
        <v>13728</v>
      </c>
      <c r="AB11" s="1066">
        <f>INDEX('CT CLP raw'!$B$1:$O$25,MATCH(AB$6,'CT CLP raw'!$B$1:$B$23,0),MATCH($C11,'CT CLP raw'!$B$9:$O$9,0))</f>
        <v>20055</v>
      </c>
      <c r="AC11" s="1066">
        <f>INDEX('CT CLP raw'!$B$1:$O$25,MATCH(AC$6,'CT CLP raw'!$B$1:$B$23,0),MATCH($C11,'CT CLP raw'!$B$9:$O$9,0))</f>
        <v>61445</v>
      </c>
      <c r="AD11" s="1066">
        <f>INDEX('CT CLP raw'!$B$1:$O$25,MATCH(AD$6,'CT CLP raw'!$B$1:$B$23,0),MATCH($C11,'CT CLP raw'!$B$9:$O$9,0))</f>
        <v>28138</v>
      </c>
      <c r="AE11" s="1066">
        <f>INDEX('CT UI raw'!$B$8:$Q$26,MATCH(AE$6,'CT UI raw'!$B$8:$B$26,0),MATCH('CT UI raw'!$N$8,'CT UI raw'!$B$8:$Q$8,0))/1000</f>
        <v>14731.133</v>
      </c>
      <c r="AF11" s="1066">
        <f>INDEX('CT UI raw'!$B$8:$Q$26,MATCH(AF$6,'CT UI raw'!$B$8:$B$26,0),MATCH('CT UI raw'!$N$8,'CT UI raw'!$B$8:$Q$8,0))/1000</f>
        <v>241.50899999999999</v>
      </c>
      <c r="AG11" s="1066">
        <f>INDEX('CT UI raw'!$B$8:$Q$26,MATCH(AG$6,'CT UI raw'!$B$8:$B$26,0),MATCH('CT UI raw'!$N$8,'CT UI raw'!$B$8:$Q$8,0))/1000</f>
        <v>3515.8220000000001</v>
      </c>
      <c r="AH11" s="1066">
        <f>INDEX('CT UI raw'!$B$8:$Q$26,MATCH(AH$6,'CT UI raw'!$B$8:$B$26,0),MATCH('CT UI raw'!$N$8,'CT UI raw'!$B$8:$Q$8,0))/1000</f>
        <v>3070.2550000000001</v>
      </c>
      <c r="AI11" s="1066">
        <f>INDEX('CT UI raw'!$B$8:$Q$26,MATCH(AI$6,'CT UI raw'!$B$8:$B$26,0),MATCH('CT UI raw'!$N$8,'CT UI raw'!$B$8:$Q$8,0))/1000</f>
        <v>6738.3450000000003</v>
      </c>
      <c r="AJ11" s="1066">
        <f>INDEX('CT UI raw'!$B$8:$Q$26,MATCH(AJ$6,'CT UI raw'!$B$8:$B$26,0),MATCH('CT UI raw'!$N$8,'CT UI raw'!$B$8:$Q$8,0))/1000</f>
        <v>10915.602999999999</v>
      </c>
      <c r="AK11" s="1066">
        <f>INDEX('CT UI raw'!$B$8:$Q$26,MATCH(AK$6,'CT UI raw'!$B$8:$B$26,0),MATCH('CT UI raw'!$N$8,'CT UI raw'!$B$8:$Q$8,0))/1000</f>
        <v>5074.6379999999999</v>
      </c>
      <c r="AL11" s="1066">
        <f>INDEX('MA raw'!$B$1:$L$35,MATCH(AL$6,'MA raw'!$B$1:$B$35,0),MATCH('MA raw'!$K$8,'MA raw'!$B$8:$L$8,0))</f>
        <v>3814</v>
      </c>
      <c r="AM11" s="1066">
        <f>INDEX('MA raw'!$B$1:$L$35,MATCH(AM$6,'MA raw'!$B$1:$B$35,0),MATCH('MA raw'!$K$8,'MA raw'!$B$8:$L$8,0))</f>
        <v>3788</v>
      </c>
      <c r="AN11" s="1066">
        <f>INDEX('MA raw'!$B$1:$L$35,MATCH(AN$6,'MA raw'!$B$1:$B$35,0),MATCH('MA raw'!$K$8,'MA raw'!$B$8:$L$8,0))</f>
        <v>23488</v>
      </c>
      <c r="AO11" s="1066">
        <f>INDEX('MA raw'!$B$1:$L$35,MATCH(AO$6,'MA raw'!$B$1:$B$35,0),MATCH('MA raw'!$K$8,'MA raw'!$B$8:$L$8,0))</f>
        <v>45801</v>
      </c>
      <c r="AP11" s="1066">
        <f>INDEX('MA raw'!$B$1:$L$35,MATCH(AP$6,'MA raw'!$B$1:$B$35,0),MATCH('MA raw'!$K$8,'MA raw'!$B$8:$L$8,0))</f>
        <v>74520</v>
      </c>
      <c r="AQ11" s="1066">
        <f>INDEX('MA raw'!$B$1:$L$35,MATCH(AQ$6,'MA raw'!$B$1:$B$35,0),MATCH('MA raw'!$K$8,'MA raw'!$B$8:$L$8,0))</f>
        <v>90775</v>
      </c>
      <c r="AR11" s="1066">
        <f>INDEX('MA raw'!$B$1:$L$35,MATCH(AR$6,'MA raw'!$B$1:$B$35,0),MATCH('MA raw'!$K$8,'MA raw'!$B$8:$L$8,0))</f>
        <v>19199</v>
      </c>
      <c r="AS11" s="1066">
        <f>INDEX('MA raw'!$B$1:$L$35,MATCH(AS$6,'MA raw'!$B$1:$B$35,0),MATCH('MA raw'!$K$8,'MA raw'!$B$8:$L$8,0))</f>
        <v>143653</v>
      </c>
      <c r="AT11" s="1066">
        <f>INDEX('MA raw'!$B$1:$L$35,MATCH(AT$6,'MA raw'!$B$1:$B$35,0),MATCH('MA raw'!$K$8,'MA raw'!$B$8:$L$8,0))</f>
        <v>2682</v>
      </c>
      <c r="AU11" s="1066">
        <f>INDEX('MA raw'!$B$1:$L$35,MATCH(AU$6,'MA raw'!$B$1:$B$35,0),MATCH('MA raw'!$K$8,'MA raw'!$B$8:$L$8,0))</f>
        <v>515491</v>
      </c>
      <c r="AV11" s="1066">
        <f>INDEX('MA raw'!$B$1:$L$35,MATCH(AV$6,'MA raw'!$B$1:$B$35,0),MATCH('MA raw'!$K$8,'MA raw'!$B$8:$L$8,0))</f>
        <v>1801</v>
      </c>
      <c r="AW11" s="1066">
        <f>INDEX('MA raw'!$B$1:$L$35,MATCH(AW$6,'MA raw'!$B$1:$B$35,0),MATCH('MA raw'!$K$8,'MA raw'!$B$8:$L$8,0))</f>
        <v>140153</v>
      </c>
      <c r="AX11" s="1066">
        <f>INDEX('MA raw'!$B$1:$L$35,MATCH(AX$6,'MA raw'!$B$1:$B$35,0),MATCH('MA raw'!$K$8,'MA raw'!$B$8:$L$8,0))</f>
        <v>5725</v>
      </c>
      <c r="AY11" s="1066">
        <f>INDEX('MA raw'!$B$1:$L$35,MATCH(AY$6,'MA raw'!$B$1:$B$35,0),MATCH('MA raw'!$K$8,'MA raw'!$B$8:$L$8,0))</f>
        <v>693</v>
      </c>
      <c r="AZ11" s="1066">
        <f>INDEX('MA raw'!$B$1:$L$35,MATCH(AZ$6,'MA raw'!$B$1:$B$35,0),MATCH('MA raw'!$K$8,'MA raw'!$B$8:$L$8,0))</f>
        <v>34792</v>
      </c>
      <c r="BA11" s="1066">
        <f>INDEX('RI raw'!$B$33:$G$44,MATCH('State Programs Summary'!BA$6,'RI raw'!$B$33:$B$44,0),5)</f>
        <v>27216</v>
      </c>
      <c r="BB11" s="1066">
        <f>INDEX('RI raw'!$B$33:$G$44,MATCH('State Programs Summary'!BB$6,'RI raw'!$B$33:$B$44,0),5)</f>
        <v>39928</v>
      </c>
      <c r="BC11" s="1066">
        <f>INDEX('RI raw'!$B$33:$G$44,MATCH('State Programs Summary'!BC$6,'RI raw'!$B$33:$B$44,0),5)</f>
        <v>21113</v>
      </c>
      <c r="BD11" s="1066">
        <f>INDEX('RI raw'!$B$33:$G$44,MATCH('State Programs Summary'!BD$6,'RI raw'!$B$33:$B$44,0),5)</f>
        <v>3960</v>
      </c>
      <c r="BE11" s="1066">
        <f>INDEX('RI raw'!$B$33:$G$44,MATCH('State Programs Summary'!BE$6,'RI raw'!$B$33:$B$44,0),5)</f>
        <v>812</v>
      </c>
      <c r="BF11" s="1066">
        <f>INDEX('RI raw'!$B$33:$G$44,MATCH('State Programs Summary'!BF$6,'RI raw'!$B$33:$B$44,0),5)</f>
        <v>1964</v>
      </c>
      <c r="BG11" s="1066">
        <f>INDEX('RI raw'!$B$33:$G$44,MATCH('State Programs Summary'!BG$6,'RI raw'!$B$33:$B$44,0),5)</f>
        <v>8432</v>
      </c>
      <c r="BH11" s="1066">
        <f>INDEX('RI raw'!$B$33:$G$44,MATCH('State Programs Summary'!BH$6,'RI raw'!$B$33:$B$44,0),5)</f>
        <v>20174</v>
      </c>
      <c r="BI11" s="1066">
        <f>INDEX('RI raw'!$B$33:$G$44,MATCH('State Programs Summary'!BI$6,'RI raw'!$B$33:$B$44,0),5)</f>
        <v>4971</v>
      </c>
    </row>
    <row r="12" spans="1:62">
      <c r="C12" s="814"/>
      <c r="D12" s="765"/>
      <c r="E12" s="1066"/>
      <c r="F12" s="1067"/>
      <c r="G12" s="1068"/>
      <c r="H12" s="1068"/>
      <c r="I12" s="1068"/>
      <c r="J12" s="1068"/>
      <c r="K12" s="1068"/>
      <c r="L12" s="1068"/>
      <c r="M12" s="1068"/>
      <c r="N12" s="1068"/>
      <c r="O12" s="1068"/>
      <c r="P12" s="1068"/>
      <c r="Q12" s="1068"/>
      <c r="R12" s="1068"/>
      <c r="S12" s="1068"/>
      <c r="T12" s="1068"/>
      <c r="U12" s="1068"/>
      <c r="V12" s="1068"/>
      <c r="W12" s="1068"/>
      <c r="X12" s="1068"/>
      <c r="Y12" s="1068"/>
      <c r="Z12" s="1068"/>
      <c r="AA12" s="1068"/>
      <c r="AB12" s="1068"/>
      <c r="AC12" s="1068"/>
      <c r="AD12" s="1068"/>
      <c r="AE12" s="1068"/>
      <c r="AF12" s="1068"/>
      <c r="AG12" s="1068"/>
      <c r="AH12" s="1068"/>
      <c r="AI12" s="1068"/>
      <c r="AJ12" s="1068"/>
      <c r="AK12" s="1068"/>
      <c r="AL12" s="1068"/>
      <c r="AM12" s="1068"/>
      <c r="AN12" s="1068"/>
      <c r="AO12" s="1068"/>
      <c r="AP12" s="1068"/>
      <c r="AQ12" s="1068"/>
      <c r="AR12" s="1068"/>
      <c r="AS12" s="1068"/>
      <c r="AT12" s="1068"/>
      <c r="AU12" s="1068"/>
      <c r="AV12" s="1068"/>
      <c r="AW12" s="1068"/>
      <c r="AX12" s="1068"/>
      <c r="AY12" s="1068"/>
      <c r="AZ12" s="1068"/>
      <c r="BA12" s="1069"/>
      <c r="BB12" s="1069"/>
      <c r="BC12" s="1069"/>
      <c r="BD12" s="1069"/>
      <c r="BE12" s="1069"/>
      <c r="BF12" s="1069"/>
      <c r="BG12" s="1069"/>
      <c r="BH12" s="1069"/>
      <c r="BI12" s="1069"/>
    </row>
    <row r="13" spans="1:62">
      <c r="C13" s="811" t="s">
        <v>532</v>
      </c>
      <c r="D13" s="765"/>
      <c r="E13" s="1066"/>
      <c r="F13" s="1067"/>
      <c r="G13" s="1070"/>
      <c r="H13" s="1071"/>
      <c r="I13" s="1071"/>
      <c r="J13" s="1071"/>
      <c r="K13" s="1071"/>
      <c r="L13" s="1072"/>
      <c r="M13" s="1071"/>
      <c r="N13" s="1071"/>
      <c r="O13" s="1071"/>
      <c r="P13" s="1071"/>
      <c r="Q13" s="1071"/>
      <c r="R13" s="1071"/>
      <c r="S13" s="1071"/>
      <c r="T13" s="1071"/>
      <c r="U13" s="1071"/>
      <c r="V13" s="1071"/>
      <c r="W13" s="1073"/>
      <c r="X13" s="1071"/>
      <c r="Y13" s="1071"/>
      <c r="Z13" s="1071"/>
      <c r="AA13" s="1071"/>
      <c r="AB13" s="1071"/>
      <c r="AC13" s="1071"/>
      <c r="AD13" s="1071"/>
      <c r="AE13" s="1071"/>
      <c r="AF13" s="1071"/>
      <c r="AG13" s="1071"/>
      <c r="AH13" s="1071"/>
      <c r="AI13" s="1071"/>
      <c r="AJ13" s="1071"/>
      <c r="AK13" s="1071"/>
      <c r="AL13" s="1071"/>
      <c r="AM13" s="1071"/>
      <c r="AN13" s="1071"/>
      <c r="AO13" s="1071"/>
      <c r="AP13" s="1071"/>
      <c r="AQ13" s="1071"/>
      <c r="AR13" s="1071"/>
      <c r="AS13" s="1071"/>
      <c r="AT13" s="1071"/>
      <c r="AU13" s="1071"/>
      <c r="AV13" s="1071"/>
      <c r="AW13" s="1071"/>
      <c r="AX13" s="1071"/>
      <c r="AY13" s="1073"/>
      <c r="AZ13" s="1073"/>
      <c r="BA13" s="1069"/>
      <c r="BB13" s="1069"/>
      <c r="BC13" s="1069"/>
      <c r="BD13" s="1069"/>
      <c r="BE13" s="1069"/>
      <c r="BF13" s="1069"/>
      <c r="BG13" s="1069"/>
      <c r="BH13" s="1069"/>
      <c r="BI13" s="1069"/>
    </row>
    <row r="14" spans="1:62">
      <c r="C14" s="813" t="s">
        <v>533</v>
      </c>
      <c r="D14" s="765" t="s">
        <v>262</v>
      </c>
      <c r="E14" s="1066">
        <f>SUMIFS('State Programs Summary'!$G14:$BI14,'State Programs Summary'!$G$7:$BI$7,1)</f>
        <v>394.85726699101593</v>
      </c>
      <c r="F14" s="1066"/>
      <c r="G14" s="1074">
        <f>INDEX('VT raw'!$C$46:$I$47,MATCH($C$14,'VT raw'!$C$46:$C$47,0),MATCH(G$6,'VT raw'!$C$9:$I$9,0))</f>
        <v>0.187</v>
      </c>
      <c r="H14" s="1074">
        <f>INDEX('VT raw'!$E$46:$I$47,MATCH($C$14,'VT raw'!$C$46:$C$47,0),MATCH(H$6,'VT raw'!$E$9:$I$9,0))</f>
        <v>4.891</v>
      </c>
      <c r="I14" s="1074">
        <f>INDEX('VT raw'!$E$46:$I$47,MATCH($C$14,'VT raw'!$C$46:$C$47,0),MATCH(I$6,'VT raw'!$E$9:$I$9,0))</f>
        <v>0.308</v>
      </c>
      <c r="J14" s="1074">
        <f>INDEX('VT raw'!$E$46:$I$47,MATCH($C$14,'VT raw'!$C$46:$C$47,0),MATCH(J$6,'VT raw'!$E$9:$I$9,0))</f>
        <v>2.133</v>
      </c>
      <c r="K14" s="1074">
        <f>INDEX('VT raw'!$E$46:$I$47,MATCH($C$14,'VT raw'!$C$46:$C$47,0),MATCH(K$6,'VT raw'!$E$9:$I$9,0))</f>
        <v>6.4349999999999996</v>
      </c>
      <c r="L14" s="1074">
        <f>INDEX('NH raw'!$D$9:$N$465,MATCH(L$6,'NH raw'!$D$9:$D$465,0),MATCH('NH raw'!$N$9,'NH raw'!$D$9:$O$9,0))</f>
        <v>0.12379999999999999</v>
      </c>
      <c r="M14" s="1074">
        <f>INDEX('NH raw'!$D$9:$N$465,MATCH(M$6,'NH raw'!$D$9:$D$465,0),MATCH('NH raw'!$N$9,'NH raw'!$D$9:$O$9,0))</f>
        <v>0.1721</v>
      </c>
      <c r="N14" s="1074">
        <f>INDEX('NH raw'!$D$9:$N$465,MATCH(N$6,'NH raw'!$D$9:$D$465,0),MATCH('NH raw'!$N$9,'NH raw'!$D$9:$O$9,0))</f>
        <v>0.38569999999999999</v>
      </c>
      <c r="O14" s="1074">
        <f>INDEX('NH raw'!$D$9:$N$465,MATCH(O$6,'NH raw'!$D$9:$D$465,0),MATCH('NH raw'!$N$9,'NH raw'!$D$9:$O$9,0))</f>
        <v>5.6100000000000011E-2</v>
      </c>
      <c r="P14" s="1074">
        <f>INDEX('NH raw'!$D$9:$N$465,MATCH(P$6,'NH raw'!$D$9:$D$465,0),MATCH('NH raw'!$N$9,'NH raw'!$D$9:$O$9,0))</f>
        <v>0.755</v>
      </c>
      <c r="Q14" s="1074">
        <f>INDEX('NH raw'!$D$9:$N$465,MATCH(Q$6,'NH raw'!$D$9:$D$465,0),MATCH('NH raw'!$N$9,'NH raw'!$D$9:$O$9,0))</f>
        <v>2.4076</v>
      </c>
      <c r="R14" s="1074">
        <f>INDEX('NH raw'!$D$9:$N$465,MATCH(R$6,'NH raw'!$D$9:$D$465,0),MATCH('NH raw'!$N$9,'NH raw'!$D$9:$O$9,0))</f>
        <v>3.9676</v>
      </c>
      <c r="S14" s="1074">
        <f>INDEX('NH raw'!$D$9:$N$465,MATCH(S$6,'NH raw'!$D$9:$D$465,0),MATCH('NH raw'!$N$9,'NH raw'!$D$9:$O$9,0))</f>
        <v>2.0543</v>
      </c>
      <c r="T14" s="1074">
        <f>($J$14+$K$14+$Q$14+$R$14+$S$14+$AB$14+$AC$14+$AD$14+$AI$14+$AJ$14+$AK$14+$AS$14+$AU$14+$AW$14)/($J$11+$K$11+$Q$11+$R$11+$S$11+$AB$11+$AC$11+$AD$11+$AI$11+$AJ$11+$AK$11+$AS$11+$AU$11+$AW$11)*T11</f>
        <v>9.9488167400174436</v>
      </c>
      <c r="U14" s="1074">
        <f>($H$14/$H$11*$U$11)*($H$14/($H$14+$P$14+$X$14+$AE$14+$AQ$14))+($P$14/$P$11*$U$11)*($P$14/($H$14+$P$14+$X$14+$AE$14+$AQ$14))+($X$14/$X$11*$U$11)*($X$14/($H$14+$P$14+$X$14+$AE$14+$AQ$14))+($AE$14/$AE$11*$U$11)*($AE$14/($H$14+$P$14+$X$14+$AE$14+$AQ$14))+($AQ$14/$AQ$11*$U$11)*($AQ$14/($H$14+$P$14+$X$14+$AE$14+$AQ$14))</f>
        <v>20.003794030039213</v>
      </c>
      <c r="V14" s="1074">
        <f>($H$14/$H$11*$V$11)*($H$14/($H$14+$X$14+$AE$14))+($P$14/$P$11*$V$11)*($P$14/($H$14+$X$14+$AE$14))+($X$14/$X$11*$V$11)*($X$14/($H$14+$X$14+$AE$14))+($AE$14/$AE$11*$V$11)*($AE$14/($H$14+$X$14+$AE$14))+($AQ$14/$AQ$11*$V$11)*($AQ$14/($H$14+$X$14+$AE$14))</f>
        <v>2.195307789287662</v>
      </c>
      <c r="W14" s="1074">
        <f>($R$14/$R$11*$W$11)*($R$14/($R$14+$AC$14+$AJ$14+$AU$14))+($AC$14/$AC$11*$W$11)*($AC$14/($R$14+$AC$14+$AJ$14+$AU$14))+($AJ$14/$AJ$11*$W$11)*($AJ$14/($R$14+$AC$14+$AJ$14+$AU$14))+($AU$14/$AU$11*$W$11)*($AU$14/($R$14+$AC$14+$AJ$14+$AU$14))</f>
        <v>10.348848431671733</v>
      </c>
      <c r="X14" s="1074">
        <f>(INDEX('CT CLP raw'!$B$1:$O$25,MATCH(X$6,'CT CLP raw'!$B$1:$B$23,0),MATCH('CT CLP raw'!$M$9,'CT CLP raw'!$B$9:$O$9,0)))/1000</f>
        <v>3.2709999999999999</v>
      </c>
      <c r="Y14" s="1074">
        <f>(INDEX('CT CLP raw'!$B$1:$O$25,MATCH(Y$6,'CT CLP raw'!$B$1:$B$23,0),MATCH('CT CLP raw'!$M$9,'CT CLP raw'!$B$9:$O$9,0)))/1000</f>
        <v>0.35599999999999998</v>
      </c>
      <c r="Z14" s="1074">
        <f>(INDEX('CT CLP raw'!$B$1:$O$25,MATCH(Z$6,'CT CLP raw'!$B$1:$B$23,0),MATCH('CT CLP raw'!$M$9,'CT CLP raw'!$B$9:$O$9,0)))/1000</f>
        <v>2.6309999999999998</v>
      </c>
      <c r="AA14" s="1074">
        <f>(INDEX('CT CLP raw'!$B$1:$O$25,MATCH(AA$6,'CT CLP raw'!$B$1:$B$23,0),MATCH('CT CLP raw'!$M$9,'CT CLP raw'!$B$9:$O$9,0)))/1000</f>
        <v>0.92900000000000005</v>
      </c>
      <c r="AB14" s="1074">
        <f>(INDEX('CT CLP raw'!$B$1:$O$25,MATCH(AB$6,'CT CLP raw'!$B$1:$B$23,0),MATCH('CT CLP raw'!$M$9,'CT CLP raw'!$B$9:$O$9,0)))/1000</f>
        <v>4.375</v>
      </c>
      <c r="AC14" s="1074">
        <f>(INDEX('CT CLP raw'!$B$1:$O$25,MATCH(AC$6,'CT CLP raw'!$B$1:$B$23,0),MATCH('CT CLP raw'!$M$9,'CT CLP raw'!$B$9:$O$9,0)))/1000</f>
        <v>8.3759999999999994</v>
      </c>
      <c r="AD14" s="1074">
        <f>(INDEX('CT CLP raw'!$B$1:$O$25,MATCH(AD$6,'CT CLP raw'!$B$1:$B$23,0),MATCH('CT CLP raw'!$M$9,'CT CLP raw'!$B$9:$O$9,0)))/1000</f>
        <v>4.8280000000000003</v>
      </c>
      <c r="AE14" s="1074">
        <f>INDEX('CT UI raw'!$B$8:$Q$26,MATCH(AE$6,'CT UI raw'!$B$8:$B$26,0),MATCH('CT UI raw'!$M$8,'CT UI raw'!$B$8:$Q$8,0))/1000</f>
        <v>1.3257999999999999</v>
      </c>
      <c r="AF14" s="1074">
        <f>INDEX('CT UI raw'!$B$8:$Q$26,MATCH(AF$6,'CT UI raw'!$B$8:$B$26,0),MATCH('CT UI raw'!$M$8,'CT UI raw'!$B$8:$Q$8,0))/1000</f>
        <v>0.10299999999999999</v>
      </c>
      <c r="AG14" s="1074">
        <f>INDEX('CT UI raw'!$B$8:$Q$26,MATCH(AG$6,'CT UI raw'!$B$8:$B$26,0),MATCH('CT UI raw'!$M$8,'CT UI raw'!$B$8:$Q$8,0))/1000</f>
        <v>0.73409999999999997</v>
      </c>
      <c r="AH14" s="1074">
        <f>INDEX('CT UI raw'!$B$8:$Q$26,MATCH(AH$6,'CT UI raw'!$B$8:$B$26,0),MATCH('CT UI raw'!$M$8,'CT UI raw'!$B$8:$Q$8,0))/1000</f>
        <v>0.2097</v>
      </c>
      <c r="AI14" s="1074">
        <f>INDEX('CT UI raw'!$B$8:$Q$26,MATCH(AI$6,'CT UI raw'!$B$8:$B$26,0),MATCH('CT UI raw'!$M$8,'CT UI raw'!$B$8:$Q$8,0))/1000</f>
        <v>1.0932999999999999</v>
      </c>
      <c r="AJ14" s="1074">
        <f>INDEX('CT UI raw'!$B$8:$Q$26,MATCH(AJ$6,'CT UI raw'!$B$8:$B$26,0),MATCH('CT UI raw'!$M$8,'CT UI raw'!$B$8:$Q$8,0))/1000</f>
        <v>1.3483000000000001</v>
      </c>
      <c r="AK14" s="1074">
        <f>INDEX('CT UI raw'!$B$8:$Q$26,MATCH(AK$6,'CT UI raw'!$B$8:$B$26,0),MATCH('CT UI raw'!$M$8,'CT UI raw'!$B$8:$Q$8,0))/1000</f>
        <v>0.8609</v>
      </c>
      <c r="AL14" s="1074">
        <f>(INDEX('MA raw'!$B$1:$L$35,MATCH(AL$6,'MA raw'!$B$1:$B$35,0),MATCH('MA raw'!$J$8,'MA raw'!$B$8:$L$8,0)))/1000</f>
        <v>0.878</v>
      </c>
      <c r="AM14" s="1074">
        <f>(INDEX('MA raw'!$B$1:$L$35,MATCH(AM$6,'MA raw'!$B$1:$B$35,0),MATCH('MA raw'!$J$8,'MA raw'!$B$8:$L$8,0)))/1000</f>
        <v>1.1140000000000001</v>
      </c>
      <c r="AN14" s="1074">
        <f>INDEX('MA raw'!$B$1:$L$35,MATCH(AN$6,'MA raw'!$B$1:$B$35,0),MATCH('MA raw'!$J$8,'MA raw'!$B$8:$L$8,0))/1000</f>
        <v>3.9420000000000002</v>
      </c>
      <c r="AO14" s="1074">
        <f>INDEX('MA raw'!$B$1:$L$35,MATCH(AO$6,'MA raw'!$B$1:$B$35,0),MATCH('MA raw'!$J$8,'MA raw'!$B$8:$L$8,0))/1000</f>
        <v>11.106999999999999</v>
      </c>
      <c r="AP14" s="1074">
        <f>(INDEX('MA raw'!$B$1:$L$35,MATCH(AP$6,'MA raw'!$B$1:$B$35,0),MATCH('MA raw'!$J$8,'MA raw'!$B$8:$L$8,0)))/1000</f>
        <v>18.63</v>
      </c>
      <c r="AQ14" s="1074">
        <f>(INDEX('MA raw'!$B$1:$L$35,MATCH(AQ$6,'MA raw'!$B$1:$B$35,0),MATCH('MA raw'!$J$8,'MA raw'!$B$8:$L$8,0)))/1000</f>
        <v>16.103000000000002</v>
      </c>
      <c r="AR14" s="1074">
        <f>(INDEX('MA raw'!$B$1:$L$35,MATCH(AR$6,'MA raw'!$B$1:$B$35,0),MATCH('MA raw'!$J$8,'MA raw'!$B$8:$L$8,0)))/1000</f>
        <v>3.9129999999999998</v>
      </c>
      <c r="AS14" s="1074">
        <f>(INDEX('MA raw'!$B$1:$L$35,MATCH(AS$6,'MA raw'!$B$1:$B$35,0),MATCH('MA raw'!$J$8,'MA raw'!$B$8:$L$8,0)))/1000</f>
        <v>40.817</v>
      </c>
      <c r="AT14" s="1074">
        <f>(INDEX('MA raw'!$B$1:$L$35,MATCH(AT$6,'MA raw'!$B$1:$B$35,0),MATCH('MA raw'!$J$8,'MA raw'!$B$8:$L$8,0)))/1000</f>
        <v>0.79700000000000004</v>
      </c>
      <c r="AU14" s="1074">
        <f>(INDEX('MA raw'!$B$1:$L$35,MATCH(AU$6,'MA raw'!$B$1:$B$35,0),MATCH('MA raw'!$J$8,'MA raw'!$B$8:$L$8,0)))/1000</f>
        <v>135.69</v>
      </c>
      <c r="AV14" s="1074">
        <f>(INDEX('MA raw'!$B$1:$L$35,MATCH(AV$6,'MA raw'!$B$1:$B$35,0),MATCH('MA raw'!$J$8,'MA raw'!$B$8:$L$8,0)))/1000</f>
        <v>0.505</v>
      </c>
      <c r="AW14" s="1074">
        <f>(INDEX('MA raw'!$B$1:$L$35,MATCH(AW$6,'MA raw'!$B$1:$B$35,0),MATCH('MA raw'!$J$8,'MA raw'!$B$8:$L$8,0)))/1000</f>
        <v>39.433999999999997</v>
      </c>
      <c r="AX14" s="1074">
        <f>(INDEX('MA raw'!$B$1:$L$35,MATCH(AX$6,'MA raw'!$B$1:$B$35,0),MATCH('MA raw'!$J$8,'MA raw'!$B$8:$L$8,0)))/1000</f>
        <v>1.3109999999999999</v>
      </c>
      <c r="AY14" s="1074">
        <f>(INDEX('MA raw'!$B$1:$L$35,MATCH(AY$6,'MA raw'!$B$1:$B$35,0),MATCH('MA raw'!$J$8,'MA raw'!$B$8:$L$8,0)))/1000</f>
        <v>0.128</v>
      </c>
      <c r="AZ14" s="1074">
        <f>(INDEX('MA raw'!$B$1:$L$35,MATCH(AZ$6,'MA raw'!$B$1:$B$35,0),MATCH('MA raw'!$J$8,'MA raw'!$B$8:$L$8,0)))/1000</f>
        <v>6.3730000000000002</v>
      </c>
      <c r="BA14" s="1074">
        <f>INDEX('RI raw'!$B$33:$G$44,MATCH('State Programs Summary'!BA$6,'RI raw'!$B$33:$B$44,0),2)/1000</f>
        <v>9.0489999999999995</v>
      </c>
      <c r="BB14" s="1074">
        <f>INDEX('RI raw'!$B$33:$G$44,MATCH('State Programs Summary'!BB$6,'RI raw'!$B$33:$B$44,0),2)/1000</f>
        <v>5.5270000000000001</v>
      </c>
      <c r="BC14" s="1074">
        <f>INDEX('RI raw'!$B$33:$G$44,MATCH('State Programs Summary'!BC$6,'RI raw'!$B$33:$B$44,0),2)/1000</f>
        <v>4.6749999999999998</v>
      </c>
      <c r="BD14" s="1074">
        <f>INDEX('RI raw'!$B$33:$G$44,MATCH('State Programs Summary'!BD$6,'RI raw'!$B$33:$B$44,0),2)/1000</f>
        <v>0.48199999999999998</v>
      </c>
      <c r="BE14" s="1074">
        <f>INDEX('RI raw'!$B$33:$G$44,MATCH('State Programs Summary'!BE$6,'RI raw'!$B$33:$B$44,0),2)/1000</f>
        <v>0.246</v>
      </c>
      <c r="BF14" s="1074">
        <f>INDEX('RI raw'!$B$33:$G$44,MATCH('State Programs Summary'!BF$6,'RI raw'!$B$33:$B$44,0),2)/1000</f>
        <v>2.085</v>
      </c>
      <c r="BG14" s="1074">
        <f>INDEX('RI raw'!$B$33:$G$44,MATCH('State Programs Summary'!BG$6,'RI raw'!$B$33:$B$44,0),2)/1000</f>
        <v>0.79800000000000004</v>
      </c>
      <c r="BH14" s="1074">
        <f>INDEX('RI raw'!$B$33:$G$44,MATCH('State Programs Summary'!BH$6,'RI raw'!$B$33:$B$44,0),2)/1000</f>
        <v>2.11</v>
      </c>
      <c r="BI14" s="1074">
        <f>INDEX('RI raw'!$B$33:$G$44,MATCH('State Programs Summary'!BI$6,'RI raw'!$B$33:$B$44,0),2)/1000</f>
        <v>0.50700000000000001</v>
      </c>
    </row>
    <row r="15" spans="1:62">
      <c r="A15" s="815">
        <v>1.08</v>
      </c>
      <c r="C15" s="813" t="s">
        <v>534</v>
      </c>
      <c r="D15" s="765"/>
      <c r="E15" s="1075"/>
      <c r="F15" s="1067"/>
      <c r="G15" s="1076">
        <f>G16/G14</f>
        <v>1.1016042780748663</v>
      </c>
      <c r="H15" s="1076">
        <f>H16/H14</f>
        <v>1.1050909834389695</v>
      </c>
      <c r="I15" s="1076">
        <f>I16/I14</f>
        <v>1.1071428571428572</v>
      </c>
      <c r="J15" s="1076">
        <f>J16/J14</f>
        <v>1.1050164088138772</v>
      </c>
      <c r="K15" s="1076">
        <f>K16/K14</f>
        <v>1.1050505050505051</v>
      </c>
      <c r="L15" s="1077">
        <f>'State Programs Summary'!$A$15</f>
        <v>1.08</v>
      </c>
      <c r="M15" s="1077">
        <f>'State Programs Summary'!$A$15</f>
        <v>1.08</v>
      </c>
      <c r="N15" s="1077">
        <f>'State Programs Summary'!$A$15</f>
        <v>1.08</v>
      </c>
      <c r="O15" s="1077">
        <f>'State Programs Summary'!$A$15</f>
        <v>1.08</v>
      </c>
      <c r="P15" s="1077">
        <f>'State Programs Summary'!$A$15</f>
        <v>1.08</v>
      </c>
      <c r="Q15" s="1077">
        <f>'State Programs Summary'!$A$15</f>
        <v>1.08</v>
      </c>
      <c r="R15" s="1077">
        <f>'State Programs Summary'!$A$15</f>
        <v>1.08</v>
      </c>
      <c r="S15" s="1077">
        <f>'State Programs Summary'!$A$15</f>
        <v>1.08</v>
      </c>
      <c r="T15" s="1077">
        <f>'State Programs Summary'!$A$15</f>
        <v>1.08</v>
      </c>
      <c r="U15" s="1077">
        <f>'State Programs Summary'!$A$15</f>
        <v>1.08</v>
      </c>
      <c r="V15" s="1077">
        <f>'State Programs Summary'!$A$15</f>
        <v>1.08</v>
      </c>
      <c r="W15" s="1077">
        <f>'State Programs Summary'!$A$15</f>
        <v>1.08</v>
      </c>
      <c r="X15" s="1077">
        <f>'State Programs Summary'!$A$15</f>
        <v>1.08</v>
      </c>
      <c r="Y15" s="1077">
        <f>'State Programs Summary'!$A$15</f>
        <v>1.08</v>
      </c>
      <c r="Z15" s="1077">
        <f>'State Programs Summary'!$A$15</f>
        <v>1.08</v>
      </c>
      <c r="AA15" s="1077">
        <f>'State Programs Summary'!$A$15</f>
        <v>1.08</v>
      </c>
      <c r="AB15" s="1077">
        <f>'State Programs Summary'!$A$15</f>
        <v>1.08</v>
      </c>
      <c r="AC15" s="1077">
        <f>'State Programs Summary'!$A$15</f>
        <v>1.08</v>
      </c>
      <c r="AD15" s="1077">
        <f>'State Programs Summary'!$A$15</f>
        <v>1.08</v>
      </c>
      <c r="AE15" s="1077">
        <f>'State Programs Summary'!$A$15</f>
        <v>1.08</v>
      </c>
      <c r="AF15" s="1077">
        <f>'State Programs Summary'!$A$15</f>
        <v>1.08</v>
      </c>
      <c r="AG15" s="1077">
        <f>'State Programs Summary'!$A$15</f>
        <v>1.08</v>
      </c>
      <c r="AH15" s="1077">
        <f>'State Programs Summary'!$A$15</f>
        <v>1.08</v>
      </c>
      <c r="AI15" s="1077">
        <f>'State Programs Summary'!$A$15</f>
        <v>1.08</v>
      </c>
      <c r="AJ15" s="1077">
        <f>'State Programs Summary'!$A$15</f>
        <v>1.08</v>
      </c>
      <c r="AK15" s="1077">
        <f>'State Programs Summary'!$A$15</f>
        <v>1.08</v>
      </c>
      <c r="AL15" s="1077">
        <f>'State Programs Summary'!$A$15</f>
        <v>1.08</v>
      </c>
      <c r="AM15" s="1077">
        <f>'State Programs Summary'!$A$15</f>
        <v>1.08</v>
      </c>
      <c r="AN15" s="1077">
        <f>'State Programs Summary'!$A$15</f>
        <v>1.08</v>
      </c>
      <c r="AO15" s="1077">
        <f>'State Programs Summary'!$A$15</f>
        <v>1.08</v>
      </c>
      <c r="AP15" s="1077">
        <f>'State Programs Summary'!$A$15</f>
        <v>1.08</v>
      </c>
      <c r="AQ15" s="1077">
        <f>'State Programs Summary'!$A$15</f>
        <v>1.08</v>
      </c>
      <c r="AR15" s="1077">
        <f>'State Programs Summary'!$A$15</f>
        <v>1.08</v>
      </c>
      <c r="AS15" s="1077">
        <f>'State Programs Summary'!$A$15</f>
        <v>1.08</v>
      </c>
      <c r="AT15" s="1077">
        <f>'State Programs Summary'!$A$15</f>
        <v>1.08</v>
      </c>
      <c r="AU15" s="1077">
        <f>'State Programs Summary'!$A$15</f>
        <v>1.08</v>
      </c>
      <c r="AV15" s="1077">
        <f>'State Programs Summary'!$A$15</f>
        <v>1.08</v>
      </c>
      <c r="AW15" s="1077">
        <f>'State Programs Summary'!$A$15</f>
        <v>1.08</v>
      </c>
      <c r="AX15" s="1077">
        <f>'State Programs Summary'!$A$15</f>
        <v>1.08</v>
      </c>
      <c r="AY15" s="1077">
        <f>'State Programs Summary'!$A$15</f>
        <v>1.08</v>
      </c>
      <c r="AZ15" s="1077">
        <f>'State Programs Summary'!$A$15</f>
        <v>1.08</v>
      </c>
      <c r="BA15" s="1077">
        <f>'State Programs Summary'!$A$15</f>
        <v>1.08</v>
      </c>
      <c r="BB15" s="1077">
        <f>'State Programs Summary'!$A$15</f>
        <v>1.08</v>
      </c>
      <c r="BC15" s="1077">
        <f>'State Programs Summary'!$A$15</f>
        <v>1.08</v>
      </c>
      <c r="BD15" s="1077">
        <f>'State Programs Summary'!$A$15</f>
        <v>1.08</v>
      </c>
      <c r="BE15" s="1077">
        <f>'State Programs Summary'!$A$15</f>
        <v>1.08</v>
      </c>
      <c r="BF15" s="1077">
        <f>'State Programs Summary'!$A$15</f>
        <v>1.08</v>
      </c>
      <c r="BG15" s="1077">
        <f>'State Programs Summary'!$A$15</f>
        <v>1.08</v>
      </c>
      <c r="BH15" s="1077">
        <f>'State Programs Summary'!$A$15</f>
        <v>1.08</v>
      </c>
      <c r="BI15" s="1077">
        <f>'State Programs Summary'!$A$15</f>
        <v>1.08</v>
      </c>
      <c r="BJ15" s="816"/>
    </row>
    <row r="16" spans="1:62">
      <c r="C16" s="813" t="s">
        <v>535</v>
      </c>
      <c r="D16" s="765" t="s">
        <v>262</v>
      </c>
      <c r="E16" s="1066">
        <f>SUMIFS('State Programs Summary'!$G16:$BI16,'State Programs Summary'!$G$7:$BI$7,1)</f>
        <v>426.79552835029727</v>
      </c>
      <c r="F16" s="1066"/>
      <c r="G16" s="1074">
        <f>INDEX('VT raw'!$E$46:$I$47,MATCH($C$16,'VT raw'!$C$46:$C$47,0),MATCH(G$6,'VT raw'!$E$9:$I$9,0))</f>
        <v>0.20599999999999999</v>
      </c>
      <c r="H16" s="1074">
        <f>INDEX('VT raw'!$E$46:$I$47,MATCH($C$16,'VT raw'!$C$46:$C$47,0),MATCH(H$6,'VT raw'!$E$9:$I$9,0))</f>
        <v>5.4050000000000002</v>
      </c>
      <c r="I16" s="1074">
        <f>INDEX('VT raw'!$E$46:$I$47,MATCH($C$16,'VT raw'!$C$46:$C$47,0),MATCH(I$6,'VT raw'!$E$9:$I$9,0))</f>
        <v>0.34100000000000003</v>
      </c>
      <c r="J16" s="1074">
        <f>INDEX('VT raw'!$E$46:$I$47,MATCH($C$16,'VT raw'!$C$46:$C$47,0),MATCH(J$6,'VT raw'!$E$9:$I$9,0))</f>
        <v>2.3570000000000002</v>
      </c>
      <c r="K16" s="1074">
        <f>INDEX('VT raw'!$E$46:$I$47,MATCH($C$16,'VT raw'!$C$46:$C$47,0),MATCH(K$6,'VT raw'!$E$9:$I$9,0))</f>
        <v>7.1109999999999998</v>
      </c>
      <c r="L16" s="1074">
        <f t="shared" ref="L16:T16" si="0">L14*L15</f>
        <v>0.13370399999999999</v>
      </c>
      <c r="M16" s="1074">
        <f t="shared" si="0"/>
        <v>0.18586800000000001</v>
      </c>
      <c r="N16" s="1074">
        <f t="shared" si="0"/>
        <v>0.41655600000000004</v>
      </c>
      <c r="O16" s="1074">
        <f t="shared" si="0"/>
        <v>6.0588000000000017E-2</v>
      </c>
      <c r="P16" s="1074">
        <f t="shared" si="0"/>
        <v>0.81540000000000001</v>
      </c>
      <c r="Q16" s="1074">
        <f t="shared" si="0"/>
        <v>2.6002080000000003</v>
      </c>
      <c r="R16" s="1074">
        <f t="shared" si="0"/>
        <v>4.2850080000000004</v>
      </c>
      <c r="S16" s="1074">
        <f t="shared" si="0"/>
        <v>2.2186440000000003</v>
      </c>
      <c r="T16" s="1074">
        <f t="shared" si="0"/>
        <v>10.744722079218841</v>
      </c>
      <c r="U16" s="1074">
        <f>U14*U15</f>
        <v>21.604097552442351</v>
      </c>
      <c r="V16" s="1074">
        <f>V14*V15</f>
        <v>2.3709324124306752</v>
      </c>
      <c r="W16" s="1074">
        <f>W14*W15</f>
        <v>11.176756306205473</v>
      </c>
      <c r="X16" s="1074">
        <f>X14*X15</f>
        <v>3.53268</v>
      </c>
      <c r="Y16" s="1074">
        <f t="shared" ref="Y16:AK16" si="1">Y14*Y15</f>
        <v>0.38447999999999999</v>
      </c>
      <c r="Z16" s="1074">
        <f t="shared" si="1"/>
        <v>2.8414799999999998</v>
      </c>
      <c r="AA16" s="1074">
        <f t="shared" si="1"/>
        <v>1.0033200000000002</v>
      </c>
      <c r="AB16" s="1074">
        <f t="shared" si="1"/>
        <v>4.7250000000000005</v>
      </c>
      <c r="AC16" s="1074">
        <f t="shared" si="1"/>
        <v>9.0460799999999999</v>
      </c>
      <c r="AD16" s="1074">
        <f t="shared" si="1"/>
        <v>5.2142400000000011</v>
      </c>
      <c r="AE16" s="1074">
        <f t="shared" si="1"/>
        <v>1.431864</v>
      </c>
      <c r="AF16" s="1074">
        <f t="shared" si="1"/>
        <v>0.11124000000000001</v>
      </c>
      <c r="AG16" s="1074">
        <f t="shared" si="1"/>
        <v>0.79282799999999998</v>
      </c>
      <c r="AH16" s="1074">
        <f t="shared" si="1"/>
        <v>0.22647600000000001</v>
      </c>
      <c r="AI16" s="1074">
        <f t="shared" si="1"/>
        <v>1.1807639999999999</v>
      </c>
      <c r="AJ16" s="1074">
        <f t="shared" si="1"/>
        <v>1.4561640000000002</v>
      </c>
      <c r="AK16" s="1074">
        <f t="shared" si="1"/>
        <v>0.92977200000000004</v>
      </c>
      <c r="AL16" s="1074">
        <f>AL14*AL15</f>
        <v>0.94824000000000008</v>
      </c>
      <c r="AM16" s="1074">
        <f t="shared" ref="AM16:BI16" si="2">AM14*AM15</f>
        <v>1.2031200000000002</v>
      </c>
      <c r="AN16" s="1074">
        <f t="shared" si="2"/>
        <v>4.2573600000000003</v>
      </c>
      <c r="AO16" s="1074">
        <f t="shared" si="2"/>
        <v>11.995559999999999</v>
      </c>
      <c r="AP16" s="1074">
        <f t="shared" si="2"/>
        <v>20.1204</v>
      </c>
      <c r="AQ16" s="1074">
        <f t="shared" si="2"/>
        <v>17.391240000000003</v>
      </c>
      <c r="AR16" s="1074">
        <f t="shared" si="2"/>
        <v>4.2260400000000002</v>
      </c>
      <c r="AS16" s="1074">
        <f t="shared" si="2"/>
        <v>44.082360000000001</v>
      </c>
      <c r="AT16" s="1074">
        <f t="shared" si="2"/>
        <v>0.86076000000000008</v>
      </c>
      <c r="AU16" s="1074">
        <f t="shared" si="2"/>
        <v>146.54519999999999</v>
      </c>
      <c r="AV16" s="1074">
        <f t="shared" si="2"/>
        <v>0.5454</v>
      </c>
      <c r="AW16" s="1074">
        <f t="shared" si="2"/>
        <v>42.588720000000002</v>
      </c>
      <c r="AX16" s="1074">
        <f t="shared" si="2"/>
        <v>1.41588</v>
      </c>
      <c r="AY16" s="1074">
        <f t="shared" si="2"/>
        <v>0.13824</v>
      </c>
      <c r="AZ16" s="1074">
        <f t="shared" si="2"/>
        <v>6.8828400000000007</v>
      </c>
      <c r="BA16" s="1074">
        <f t="shared" si="2"/>
        <v>9.7729200000000009</v>
      </c>
      <c r="BB16" s="1074">
        <f t="shared" si="2"/>
        <v>5.9691600000000005</v>
      </c>
      <c r="BC16" s="1074">
        <f t="shared" si="2"/>
        <v>5.0490000000000004</v>
      </c>
      <c r="BD16" s="1074">
        <f t="shared" si="2"/>
        <v>0.52056000000000002</v>
      </c>
      <c r="BE16" s="1074">
        <f t="shared" si="2"/>
        <v>0.26568000000000003</v>
      </c>
      <c r="BF16" s="1074">
        <f t="shared" si="2"/>
        <v>2.2518000000000002</v>
      </c>
      <c r="BG16" s="1074">
        <f t="shared" si="2"/>
        <v>0.86184000000000005</v>
      </c>
      <c r="BH16" s="1074">
        <f t="shared" si="2"/>
        <v>2.2787999999999999</v>
      </c>
      <c r="BI16" s="1074">
        <f t="shared" si="2"/>
        <v>0.54756000000000005</v>
      </c>
    </row>
    <row r="17" spans="1:61">
      <c r="C17" s="813"/>
      <c r="D17" s="765"/>
      <c r="E17" s="1066"/>
      <c r="F17" s="1067"/>
      <c r="G17" s="1071"/>
      <c r="H17" s="1071"/>
      <c r="I17" s="1071"/>
      <c r="J17" s="1071"/>
      <c r="K17" s="1071"/>
      <c r="L17" s="1071"/>
      <c r="M17" s="1071"/>
      <c r="N17" s="1071"/>
      <c r="O17" s="1071"/>
      <c r="P17" s="1071"/>
      <c r="Q17" s="1071"/>
      <c r="R17" s="1071"/>
      <c r="S17" s="1071"/>
      <c r="T17" s="1071"/>
      <c r="U17" s="1071"/>
      <c r="V17" s="1071"/>
      <c r="W17" s="1073"/>
      <c r="X17" s="1071"/>
      <c r="Y17" s="1071"/>
      <c r="Z17" s="1071"/>
      <c r="AA17" s="1071"/>
      <c r="AB17" s="1071"/>
      <c r="AC17" s="1071"/>
      <c r="AD17" s="1071"/>
      <c r="AE17" s="1071"/>
      <c r="AF17" s="1071"/>
      <c r="AG17" s="1071"/>
      <c r="AH17" s="1071"/>
      <c r="AI17" s="1071"/>
      <c r="AJ17" s="1071"/>
      <c r="AK17" s="1071"/>
      <c r="AL17" s="1071"/>
      <c r="AM17" s="1071"/>
      <c r="AN17" s="1071"/>
      <c r="AO17" s="1071"/>
      <c r="AP17" s="1071"/>
      <c r="AQ17" s="1071"/>
      <c r="AR17" s="1071"/>
      <c r="AS17" s="1071"/>
      <c r="AT17" s="1071"/>
      <c r="AU17" s="1071"/>
      <c r="AV17" s="1071"/>
      <c r="AW17" s="1071"/>
      <c r="AX17" s="1071"/>
      <c r="AY17" s="1073"/>
      <c r="AZ17" s="1073"/>
      <c r="BA17" s="1069"/>
      <c r="BB17" s="1069"/>
      <c r="BC17" s="1069"/>
      <c r="BD17" s="1069"/>
      <c r="BE17" s="1069"/>
      <c r="BF17" s="1069"/>
      <c r="BG17" s="1069"/>
      <c r="BH17" s="1069"/>
      <c r="BI17" s="1069"/>
    </row>
    <row r="18" spans="1:61">
      <c r="C18" s="811" t="s">
        <v>836</v>
      </c>
      <c r="D18" s="765"/>
      <c r="E18" s="1066"/>
      <c r="F18" s="1067"/>
      <c r="G18" s="1071"/>
      <c r="H18" s="1071"/>
      <c r="I18" s="1071"/>
      <c r="J18" s="1071"/>
      <c r="K18" s="1071"/>
      <c r="L18" s="1071"/>
      <c r="M18" s="1071"/>
      <c r="N18" s="1071"/>
      <c r="O18" s="1071"/>
      <c r="P18" s="1071"/>
      <c r="Q18" s="1071"/>
      <c r="R18" s="1071"/>
      <c r="S18" s="1071"/>
      <c r="T18" s="1071"/>
      <c r="U18" s="1071"/>
      <c r="V18" s="1071"/>
      <c r="W18" s="1073"/>
      <c r="X18" s="1071"/>
      <c r="Y18" s="1071"/>
      <c r="Z18" s="1071"/>
      <c r="AA18" s="1071"/>
      <c r="AB18" s="1071"/>
      <c r="AC18" s="1071"/>
      <c r="AD18" s="1071"/>
      <c r="AE18" s="1071"/>
      <c r="AF18" s="1071"/>
      <c r="AG18" s="1071"/>
      <c r="AH18" s="1071"/>
      <c r="AI18" s="1071"/>
      <c r="AJ18" s="1071"/>
      <c r="AK18" s="1071"/>
      <c r="AL18" s="1071"/>
      <c r="AM18" s="1071"/>
      <c r="AN18" s="1071"/>
      <c r="AO18" s="1071"/>
      <c r="AP18" s="1071"/>
      <c r="AQ18" s="1071"/>
      <c r="AR18" s="1071"/>
      <c r="AS18" s="1071"/>
      <c r="AT18" s="1071"/>
      <c r="AU18" s="1071"/>
      <c r="AV18" s="1071"/>
      <c r="AW18" s="1071"/>
      <c r="AX18" s="1071"/>
      <c r="AY18" s="1073"/>
      <c r="AZ18" s="1073"/>
      <c r="BA18" s="1069"/>
      <c r="BB18" s="1069"/>
      <c r="BC18" s="1069"/>
      <c r="BD18" s="1069"/>
      <c r="BE18" s="1069"/>
      <c r="BF18" s="1069"/>
      <c r="BG18" s="1069"/>
      <c r="BH18" s="1069"/>
      <c r="BI18" s="1069"/>
    </row>
    <row r="19" spans="1:61">
      <c r="A19" s="817">
        <v>1</v>
      </c>
      <c r="B19" s="818"/>
      <c r="C19" s="813" t="s">
        <v>536</v>
      </c>
      <c r="D19" s="765" t="s">
        <v>275</v>
      </c>
      <c r="E19" s="1066">
        <f ca="1">SUMIFS('State Programs Summary'!$G19:$BI19,'State Programs Summary'!$G$7:$BI$7,1)</f>
        <v>90418973</v>
      </c>
      <c r="F19" s="1066"/>
      <c r="G19" s="1078">
        <f>SUMIFS('VT raw'!E:E,'VT raw'!$A:$A,$A$19)</f>
        <v>1654420</v>
      </c>
      <c r="H19" s="1078">
        <f>SUMIFS('VT raw'!F:F,'VT raw'!$A:$A,$A$19)</f>
        <v>1232736</v>
      </c>
      <c r="I19" s="1078">
        <f>SUMIFS('VT raw'!G:G,'VT raw'!$A:$A,$A$19)</f>
        <v>2042664</v>
      </c>
      <c r="J19" s="1078">
        <f>SUMIFS('VT raw'!H:H,'VT raw'!$A:$A,$A$19)</f>
        <v>1178375</v>
      </c>
      <c r="K19" s="1078">
        <f>SUMIFS('VT raw'!I:I,'VT raw'!$A:$A,$A$19)</f>
        <v>3332741</v>
      </c>
      <c r="L19" s="1078">
        <f>SUMIFS('NH raw'!$10:$10,'NH raw'!$1:$1,$A19)</f>
        <v>161871</v>
      </c>
      <c r="M19" s="1078">
        <f>SUMIFS('NH raw'!$17:$17,'NH raw'!$1:$1,$A19)</f>
        <v>409605</v>
      </c>
      <c r="N19" s="1078">
        <f>SUMIFS('NH raw'!$24:$24,'NH raw'!$1:$1,$A19)</f>
        <v>109525</v>
      </c>
      <c r="O19" s="1078">
        <f>SUMIFS('NH raw'!$31:$31,'NH raw'!$1:$1,$A19)</f>
        <v>218107</v>
      </c>
      <c r="P19" s="1078">
        <f>SUMIFS('NH raw'!$38:$38,'NH raw'!$1:$1,$A19)</f>
        <v>150607</v>
      </c>
      <c r="Q19" s="1078">
        <f>SUMIFS('NH raw'!$46:$46,'NH raw'!$1:$1,$A19)</f>
        <v>354962</v>
      </c>
      <c r="R19" s="1078">
        <f>SUMIFS('NH raw'!$53:$53,'NH raw'!$1:$1,$A19)</f>
        <v>591312</v>
      </c>
      <c r="S19" s="1078">
        <f>SUMIFS('NH raw'!$60:$60,'NH raw'!$1:$1,$A19)</f>
        <v>601301</v>
      </c>
      <c r="T19" s="1078">
        <f>IFERROR(INDEX('ME raw'!$B$1:$H$17,MATCH(T$6,'ME raw'!$B$1:$B$17,0),MATCH($A19,'ME raw'!$B$1:$F$1,0)),0)</f>
        <v>2820445</v>
      </c>
      <c r="U19" s="1078">
        <f>IFERROR(INDEX('ME raw'!$B$1:$H$17,MATCH(U$6,'ME raw'!$B$1:$B$17,0),MATCH($A19,'ME raw'!$B$1:$F$1,0)),0)</f>
        <v>1065739</v>
      </c>
      <c r="V19" s="1078">
        <f>IFERROR(INDEX('ME raw'!$B$1:$H$17,MATCH(V$6,'ME raw'!$B$1:$B$17,0),MATCH($A19,'ME raw'!$B$1:$F$1,0)),0)</f>
        <v>251974</v>
      </c>
      <c r="W19" s="1078">
        <f>IFERROR(INDEX('ME raw'!$B$1:$H$17,MATCH(W$6,'ME raw'!$B$1:$B$17,0),MATCH($A19,'ME raw'!$B$1:$F$1,0)),0)</f>
        <v>96021</v>
      </c>
      <c r="X19" s="1078">
        <f>(SUMIFS('CT CLP raw'!$10:$10,'CT CLP raw'!$1:$1,$A19))*1000</f>
        <v>1018000</v>
      </c>
      <c r="Y19" s="1078">
        <f>(SUMIFS('CT CLP raw'!$11:$11,'CT CLP raw'!$1:$1,$A19))*1000</f>
        <v>237000</v>
      </c>
      <c r="Z19" s="1078">
        <f>(SUMIFS('CT CLP raw'!$12:$12,'CT CLP raw'!$1:$1,$A19))*1000</f>
        <v>1304000</v>
      </c>
      <c r="AA19" s="1078">
        <f>(SUMIFS('CT CLP raw'!$13:$13,'CT CLP raw'!$1:$1,$A19))*1000</f>
        <v>1211000</v>
      </c>
      <c r="AB19" s="1078">
        <f>(SUMIFS('CT CLP raw'!$14:$14,'CT CLP raw'!$1:$1,$A19))*1000</f>
        <v>2138000</v>
      </c>
      <c r="AC19" s="1078">
        <f>(SUMIFS('CT CLP raw'!$18:$18,'CT CLP raw'!$1:$1,$A19))*1000</f>
        <v>3653000</v>
      </c>
      <c r="AD19" s="1078">
        <f>(SUMIFS('CT CLP raw'!$19:$19,'CT CLP raw'!$1:$1,$A19))*1000</f>
        <v>1194000</v>
      </c>
      <c r="AE19" s="1078">
        <f>SUMIFS('CT UI raw'!$10:$10,'CT UI raw'!$1:$1,$A19)</f>
        <v>374412</v>
      </c>
      <c r="AF19" s="1078">
        <f>SUMIFS('CT UI raw'!$12:$12,'CT UI raw'!$1:$1,$A19)</f>
        <v>65666</v>
      </c>
      <c r="AG19" s="1078">
        <f>SUMIFS('CT UI raw'!$13:$13,'CT UI raw'!$1:$1,$A19)</f>
        <v>332346</v>
      </c>
      <c r="AH19" s="1078">
        <f>SUMIFS('CT UI raw'!$14:$14,'CT UI raw'!$1:$1,$A19)</f>
        <v>220057</v>
      </c>
      <c r="AI19" s="1078">
        <f>SUMIFS('CT UI raw'!$18:$18,'CT UI raw'!$1:$1,$A19)</f>
        <v>643396</v>
      </c>
      <c r="AJ19" s="1078">
        <f>SUMIFS('CT UI raw'!$22:$22,'CT UI raw'!$1:$1,$A19)</f>
        <v>1163611</v>
      </c>
      <c r="AK19" s="1078">
        <f>SUMIFS('CT UI raw'!$24:$24,'CT UI raw'!$1:$1,$A19)</f>
        <v>323036</v>
      </c>
      <c r="AL19" s="1078">
        <f ca="1">SUMIFS(OFFSET('MA raw'!$B$8:$I$8,MATCH('State Programs Summary'!AL$6,'MA raw'!$B$9:$B$35,0),0),'MA raw'!$B$1:$I$1,'State Programs Summary'!$A19)</f>
        <v>853222</v>
      </c>
      <c r="AM19" s="1078">
        <f ca="1">SUMIFS(OFFSET('MA raw'!$B$8:$I$8,MATCH('State Programs Summary'!AM$6,'MA raw'!$B$9:$B$35,0),0),'MA raw'!$B$1:$I$1,'State Programs Summary'!$A19)</f>
        <v>1089293</v>
      </c>
      <c r="AN19" s="1078">
        <f ca="1">SUMIFS(OFFSET('MA raw'!$B$8:$I$8,MATCH('State Programs Summary'!AN$6,'MA raw'!$B$9:$B$35,0),0),'MA raw'!$B$1:$I$1,'State Programs Summary'!$A19)</f>
        <v>3273412</v>
      </c>
      <c r="AO19" s="1078">
        <f ca="1">SUMIFS(OFFSET('MA raw'!$B$8:$I$8,MATCH('State Programs Summary'!AO$6,'MA raw'!$B$9:$B$35,0),0),'MA raw'!$B$1:$I$1,'State Programs Summary'!$A19)</f>
        <v>12681621</v>
      </c>
      <c r="AP19" s="1078">
        <f ca="1">SUMIFS(OFFSET('MA raw'!$B$8:$I$8,MATCH('State Programs Summary'!AP$6,'MA raw'!$B$9:$B$35,0),0),'MA raw'!$B$1:$I$1,'State Programs Summary'!$A19)</f>
        <v>20000</v>
      </c>
      <c r="AQ19" s="1078">
        <f ca="1">SUMIFS(OFFSET('MA raw'!$B$8:$I$8,MATCH('State Programs Summary'!AQ$6,'MA raw'!$B$9:$B$35,0),0),'MA raw'!$B$1:$I$1,'State Programs Summary'!$A19)</f>
        <v>2241575</v>
      </c>
      <c r="AR19" s="1078">
        <f ca="1">SUMIFS(OFFSET('MA raw'!$B$8:$I$8,MATCH('State Programs Summary'!AR$6,'MA raw'!$B$9:$B$35,0),0),'MA raw'!$B$1:$I$1,'State Programs Summary'!$A19)</f>
        <v>1559344</v>
      </c>
      <c r="AS19" s="1078">
        <f ca="1">SUMIFS(OFFSET('MA raw'!$B$8:$I$8,MATCH('State Programs Summary'!AS$6,'MA raw'!$B$9:$B$35,0),0),'MA raw'!$B$1:$I$1,'State Programs Summary'!$A19)</f>
        <v>12087517</v>
      </c>
      <c r="AT19" s="1078">
        <f ca="1">SUMIFS(OFFSET('MA raw'!$B$8:$I$8,MATCH('State Programs Summary'!AT$6,'MA raw'!$B$9:$B$35,0),0),'MA raw'!$B$1:$I$1,'State Programs Summary'!$A19)</f>
        <v>117569</v>
      </c>
      <c r="AU19" s="1078">
        <f ca="1">SUMIFS(OFFSET('MA raw'!$B$8:$I$8,MATCH('State Programs Summary'!AU$6,'MA raw'!$B$9:$B$35,0),0),'MA raw'!$B$1:$I$1,'State Programs Summary'!$A19)</f>
        <v>20553781</v>
      </c>
      <c r="AV19" s="1078">
        <f ca="1">SUMIFS(OFFSET('MA raw'!$B$8:$I$8,MATCH('State Programs Summary'!AV$6,'MA raw'!$B$9:$B$35,0),0),'MA raw'!$B$1:$I$1,'State Programs Summary'!$A19)</f>
        <v>114404</v>
      </c>
      <c r="AW19" s="1078">
        <f ca="1">SUMIFS(OFFSET('MA raw'!$B$8:$I$8,MATCH('State Programs Summary'!AW$6,'MA raw'!$B$9:$B$35,0),0),'MA raw'!$B$1:$I$1,'State Programs Summary'!$A19)</f>
        <v>6787634</v>
      </c>
      <c r="AX19" s="1078">
        <f ca="1">SUMIFS(OFFSET('MA raw'!$B$8:$I$8,MATCH('State Programs Summary'!AX$6,'MA raw'!$B$9:$B$35,0),0),'MA raw'!$B$1:$I$1,'State Programs Summary'!$A19)</f>
        <v>538836</v>
      </c>
      <c r="AY19" s="1078">
        <f ca="1">SUMIFS(OFFSET('MA raw'!$B$8:$I$8,MATCH('State Programs Summary'!AY$6,'MA raw'!$B$9:$B$35,0),0),'MA raw'!$B$1:$I$1,'State Programs Summary'!$A19)</f>
        <v>111581</v>
      </c>
      <c r="AZ19" s="1078">
        <f ca="1">SUMIFS(OFFSET('MA raw'!$B$8:$I$8,MATCH('State Programs Summary'!AZ$6,'MA raw'!$B$9:$B$35,0),0),'MA raw'!$B$1:$I$1,'State Programs Summary'!$A19)</f>
        <v>9060244</v>
      </c>
      <c r="BA19" s="1078">
        <f>IF(BA$7=1,IFERROR(INDEX('RI raw'!$B$9:$J$22,MATCH('State Programs Summary'!BA$6,'RI raw'!$B$9:$B$22,0),MATCH('State Programs Summary'!$A19,'RI raw'!$B$1:$J$1,0)), 0)*1000,NA())</f>
        <v>0</v>
      </c>
      <c r="BB19" s="1078">
        <f>IF(BB$7=1,IFERROR(INDEX('RI raw'!$B$9:$J$22,MATCH('State Programs Summary'!BB$6,'RI raw'!$B$9:$B$22,0),MATCH('State Programs Summary'!$A19,'RI raw'!$B$1:$J$1,0)), 0)*1000,NA())</f>
        <v>0</v>
      </c>
      <c r="BC19" s="1078">
        <f>IF(BC$7=1,IFERROR(INDEX('RI raw'!$B$9:$J$22,MATCH('State Programs Summary'!BC$6,'RI raw'!$B$9:$B$22,0),MATCH('State Programs Summary'!$A19,'RI raw'!$B$1:$J$1,0)), 0)*1000,NA())</f>
        <v>0</v>
      </c>
      <c r="BD19" s="1078" t="e">
        <f>IF(BD$7=1,IFERROR(INDEX('RI raw'!$B$9:$J$22,MATCH('State Programs Summary'!BD$6,'RI raw'!$B$9:$B$22,0),MATCH('State Programs Summary'!$A19,'RI raw'!$B$1:$J$1,0)), 0)*1000,NA())</f>
        <v>#N/A</v>
      </c>
      <c r="BE19" s="1078">
        <f>IF(BE$7=1,IFERROR(INDEX('RI raw'!$B$9:$J$22,MATCH('State Programs Summary'!BE$6,'RI raw'!$B$9:$B$22,0),MATCH('State Programs Summary'!$A19,'RI raw'!$B$1:$J$1,0)), 0)*1000,NA())</f>
        <v>0</v>
      </c>
      <c r="BF19" s="1078">
        <f>IF(BF$7=1,IFERROR(INDEX('RI raw'!$B$9:$J$22,MATCH('State Programs Summary'!BF$6,'RI raw'!$B$9:$B$22,0),MATCH('State Programs Summary'!$A19,'RI raw'!$B$1:$J$1,0)), 0)*1000,NA())</f>
        <v>0</v>
      </c>
      <c r="BG19" s="1078">
        <f>IF(BG$7=1,IFERROR(INDEX('RI raw'!$B$9:$J$22,MATCH('State Programs Summary'!BG$6,'RI raw'!$B$9:$B$22,0),MATCH('State Programs Summary'!$A19,'RI raw'!$B$1:$J$1,0)), 0)*1000,NA())</f>
        <v>0</v>
      </c>
      <c r="BH19" s="1078">
        <f>IF(BH$7=1,IFERROR(INDEX('RI raw'!$B$9:$J$22,MATCH('State Programs Summary'!BH$6,'RI raw'!$B$9:$B$22,0),MATCH('State Programs Summary'!$A19,'RI raw'!$B$1:$J$1,0)), 0)*1000,NA())</f>
        <v>0</v>
      </c>
      <c r="BI19" s="1078">
        <f>IF(BI$7=1,IFERROR(INDEX('RI raw'!$B$9:$J$22,MATCH('State Programs Summary'!BI$6,'RI raw'!$B$9:$B$22,0),MATCH('State Programs Summary'!$A19,'RI raw'!$B$1:$J$1,0)), 0)*1000,NA())</f>
        <v>0</v>
      </c>
    </row>
    <row r="20" spans="1:61">
      <c r="A20" s="817">
        <v>2</v>
      </c>
      <c r="B20" s="818"/>
      <c r="C20" s="813" t="s">
        <v>537</v>
      </c>
      <c r="D20" s="765" t="s">
        <v>275</v>
      </c>
      <c r="E20" s="1066">
        <f ca="1">SUMIFS('State Programs Summary'!$G20:$BI20,'State Programs Summary'!$G$7:$BI$7,1)</f>
        <v>102309</v>
      </c>
      <c r="F20" s="1066"/>
      <c r="G20" s="1078">
        <f>SUMIFS('VT raw'!$E:$E,'VT raw'!$A:$A,$A20)</f>
        <v>0</v>
      </c>
      <c r="H20" s="1078">
        <f>SUMIFS('VT raw'!$F:$F,'VT raw'!$A:$A,$A20)</f>
        <v>0</v>
      </c>
      <c r="I20" s="1078">
        <f>SUMIFS('VT raw'!$G:$G,'VT raw'!$A:$A,$A20)</f>
        <v>0</v>
      </c>
      <c r="J20" s="1078">
        <f>SUMIFS('VT raw'!$H:$H,'VT raw'!$A:$A,$A20)</f>
        <v>0</v>
      </c>
      <c r="K20" s="1078">
        <f>SUMIFS('VT raw'!$I:$I,'VT raw'!$A:$A,$A20)</f>
        <v>0</v>
      </c>
      <c r="L20" s="1078">
        <f>SUMIFS('NH raw'!$10:$10,'NH raw'!$1:$1,$A20)</f>
        <v>0</v>
      </c>
      <c r="M20" s="1078">
        <f>SUMIFS('NH raw'!$17:$17,'NH raw'!$1:$1,$A20)</f>
        <v>0</v>
      </c>
      <c r="N20" s="1078">
        <f>SUMIFS('NH raw'!$24:$24,'NH raw'!$1:$1,$A20)</f>
        <v>0</v>
      </c>
      <c r="O20" s="1078">
        <f>SUMIFS('NH raw'!$31:$31,'NH raw'!$1:$1,$A20)</f>
        <v>0</v>
      </c>
      <c r="P20" s="1078">
        <f>SUMIFS('NH raw'!$38:$38,'NH raw'!$1:$1,$A20)</f>
        <v>0</v>
      </c>
      <c r="Q20" s="1078">
        <f>SUMIFS('NH raw'!$46:$46,'NH raw'!$1:$1,$A20)</f>
        <v>0</v>
      </c>
      <c r="R20" s="1078">
        <f>SUMIFS('NH raw'!$53:$53,'NH raw'!$1:$1,$A20)</f>
        <v>0</v>
      </c>
      <c r="S20" s="1078">
        <f>SUMIFS('NH raw'!$60:$60,'NH raw'!$1:$1,$A20)</f>
        <v>0</v>
      </c>
      <c r="T20" s="1078">
        <f>IFERROR(INDEX('ME raw'!$B$1:$H$17,MATCH(T$6,'ME raw'!$B$1:$B$17,0),MATCH($A20,'ME raw'!$B$1:$F$1,0)),0)</f>
        <v>0</v>
      </c>
      <c r="U20" s="1078">
        <f>IFERROR(INDEX('ME raw'!$B$1:$H$17,MATCH(U$6,'ME raw'!$B$1:$B$17,0),MATCH($A20,'ME raw'!$B$1:$F$1,0)),0)</f>
        <v>0</v>
      </c>
      <c r="V20" s="1078">
        <f>IFERROR(INDEX('ME raw'!$B$1:$H$17,MATCH(V$6,'ME raw'!$B$1:$B$17,0),MATCH($A20,'ME raw'!$B$1:$F$1,0)),0)</f>
        <v>0</v>
      </c>
      <c r="W20" s="1078">
        <f>IFERROR(INDEX('ME raw'!$B$1:$H$17,MATCH(W$6,'ME raw'!$B$1:$B$17,0),MATCH($A20,'ME raw'!$B$1:$F$1,0)),0)</f>
        <v>0</v>
      </c>
      <c r="X20" s="1078">
        <f>(SUMIFS('CT CLP raw'!$10:$10,'CT CLP raw'!$1:$1,$A20))*1000</f>
        <v>2000</v>
      </c>
      <c r="Y20" s="1078">
        <f>(SUMIFS('CT CLP raw'!$11:$11,'CT CLP raw'!$1:$1,$A20))*1000</f>
        <v>3000</v>
      </c>
      <c r="Z20" s="1078">
        <f>(SUMIFS('CT CLP raw'!$12:$12,'CT CLP raw'!$1:$1,$A20))*1000</f>
        <v>25000</v>
      </c>
      <c r="AA20" s="1078">
        <f>(SUMIFS('CT CLP raw'!$13:$13,'CT CLP raw'!$1:$1,$A20))*1000</f>
        <v>30000</v>
      </c>
      <c r="AB20" s="1078">
        <f>(SUMIFS('CT CLP raw'!$14:$14,'CT CLP raw'!$1:$1,$A20))*1000</f>
        <v>10000</v>
      </c>
      <c r="AC20" s="1078">
        <f>(SUMIFS('CT CLP raw'!$18:$18,'CT CLP raw'!$1:$1,$A20))*1000</f>
        <v>32000</v>
      </c>
      <c r="AD20" s="1078">
        <f>(SUMIFS('CT CLP raw'!$19:$19,'CT CLP raw'!$1:$1,$A20))*1000</f>
        <v>10000</v>
      </c>
      <c r="AE20" s="1078">
        <f>SUMIFS('CT UI raw'!$10:$10,'CT UI raw'!$1:$1,$A20)</f>
        <v>4993</v>
      </c>
      <c r="AF20" s="1078">
        <f>SUMIFS('CT UI raw'!$12:$12,'CT UI raw'!$1:$1,$A20)</f>
        <v>1500</v>
      </c>
      <c r="AG20" s="1078">
        <f>SUMIFS('CT UI raw'!$13:$13,'CT UI raw'!$1:$1,$A20)</f>
        <v>3500</v>
      </c>
      <c r="AH20" s="1078">
        <f>SUMIFS('CT UI raw'!$14:$14,'CT UI raw'!$1:$1,$A20)</f>
        <v>5000</v>
      </c>
      <c r="AI20" s="1078">
        <f>SUMIFS('CT UI raw'!$18:$18,'CT UI raw'!$1:$1,$A20)</f>
        <v>3000</v>
      </c>
      <c r="AJ20" s="1078">
        <f>SUMIFS('CT UI raw'!$22:$22,'CT UI raw'!$1:$1,$A20)</f>
        <v>4050</v>
      </c>
      <c r="AK20" s="1078">
        <f>SUMIFS('CT UI raw'!$24:$24,'CT UI raw'!$1:$1,$A20)</f>
        <v>3266</v>
      </c>
      <c r="AL20" s="1078">
        <f ca="1">SUMIFS(OFFSET('MA raw'!$B$8:$I$8,MATCH('State Programs Summary'!AL$6,'MA raw'!$B$9:$B$35,0),0),'MA raw'!$B$1:$I$1,'State Programs Summary'!$A20)</f>
        <v>0</v>
      </c>
      <c r="AM20" s="1078">
        <f ca="1">SUMIFS(OFFSET('MA raw'!$B$8:$I$8,MATCH('State Programs Summary'!AM$6,'MA raw'!$B$9:$B$35,0),0),'MA raw'!$B$1:$I$1,'State Programs Summary'!$A20)</f>
        <v>0</v>
      </c>
      <c r="AN20" s="1078">
        <f ca="1">SUMIFS(OFFSET('MA raw'!$B$8:$I$8,MATCH('State Programs Summary'!AN$6,'MA raw'!$B$9:$B$35,0),0),'MA raw'!$B$1:$I$1,'State Programs Summary'!$A20)</f>
        <v>0</v>
      </c>
      <c r="AO20" s="1078">
        <f ca="1">SUMIFS(OFFSET('MA raw'!$B$8:$I$8,MATCH('State Programs Summary'!AO$6,'MA raw'!$B$9:$B$35,0),0),'MA raw'!$B$1:$I$1,'State Programs Summary'!$A20)</f>
        <v>0</v>
      </c>
      <c r="AP20" s="1078">
        <f ca="1">SUMIFS(OFFSET('MA raw'!$B$8:$I$8,MATCH('State Programs Summary'!AP$6,'MA raw'!$B$9:$B$35,0),0),'MA raw'!$B$1:$I$1,'State Programs Summary'!$A20)</f>
        <v>0</v>
      </c>
      <c r="AQ20" s="1078">
        <f ca="1">SUMIFS(OFFSET('MA raw'!$B$8:$I$8,MATCH('State Programs Summary'!AQ$6,'MA raw'!$B$9:$B$35,0),0),'MA raw'!$B$1:$I$1,'State Programs Summary'!$A20)</f>
        <v>0</v>
      </c>
      <c r="AR20" s="1078">
        <f ca="1">SUMIFS(OFFSET('MA raw'!$B$8:$I$8,MATCH('State Programs Summary'!AR$6,'MA raw'!$B$9:$B$35,0),0),'MA raw'!$B$1:$I$1,'State Programs Summary'!$A20)</f>
        <v>0</v>
      </c>
      <c r="AS20" s="1078">
        <f ca="1">SUMIFS(OFFSET('MA raw'!$B$8:$I$8,MATCH('State Programs Summary'!AS$6,'MA raw'!$B$9:$B$35,0),0),'MA raw'!$B$1:$I$1,'State Programs Summary'!$A20)</f>
        <v>0</v>
      </c>
      <c r="AT20" s="1078">
        <f ca="1">SUMIFS(OFFSET('MA raw'!$B$8:$I$8,MATCH('State Programs Summary'!AT$6,'MA raw'!$B$9:$B$35,0),0),'MA raw'!$B$1:$I$1,'State Programs Summary'!$A20)</f>
        <v>0</v>
      </c>
      <c r="AU20" s="1078">
        <f ca="1">SUMIFS(OFFSET('MA raw'!$B$8:$I$8,MATCH('State Programs Summary'!AU$6,'MA raw'!$B$9:$B$35,0),0),'MA raw'!$B$1:$I$1,'State Programs Summary'!$A20)</f>
        <v>0</v>
      </c>
      <c r="AV20" s="1078">
        <f ca="1">SUMIFS(OFFSET('MA raw'!$B$8:$I$8,MATCH('State Programs Summary'!AV$6,'MA raw'!$B$9:$B$35,0),0),'MA raw'!$B$1:$I$1,'State Programs Summary'!$A20)</f>
        <v>0</v>
      </c>
      <c r="AW20" s="1078">
        <f ca="1">SUMIFS(OFFSET('MA raw'!$B$8:$I$8,MATCH('State Programs Summary'!AW$6,'MA raw'!$B$9:$B$35,0),0),'MA raw'!$B$1:$I$1,'State Programs Summary'!$A20)</f>
        <v>0</v>
      </c>
      <c r="AX20" s="1078">
        <f ca="1">SUMIFS(OFFSET('MA raw'!$B$8:$I$8,MATCH('State Programs Summary'!AX$6,'MA raw'!$B$9:$B$35,0),0),'MA raw'!$B$1:$I$1,'State Programs Summary'!$A20)</f>
        <v>0</v>
      </c>
      <c r="AY20" s="1078">
        <f ca="1">SUMIFS(OFFSET('MA raw'!$B$8:$I$8,MATCH('State Programs Summary'!AY$6,'MA raw'!$B$9:$B$35,0),0),'MA raw'!$B$1:$I$1,'State Programs Summary'!$A20)</f>
        <v>0</v>
      </c>
      <c r="AZ20" s="1078">
        <f ca="1">SUMIFS(OFFSET('MA raw'!$B$8:$I$8,MATCH('State Programs Summary'!AZ$6,'MA raw'!$B$9:$B$35,0),0),'MA raw'!$B$1:$I$1,'State Programs Summary'!$A20)</f>
        <v>0</v>
      </c>
      <c r="BA20" s="1078">
        <f>IF(BA$7=1,IFERROR(INDEX('RI raw'!$B$9:$J$22,MATCH('State Programs Summary'!BA$6,'RI raw'!$B$9:$B$22,0),MATCH('State Programs Summary'!$A20,'RI raw'!$B$1:$J$1,0)), 0)*1000,NA())</f>
        <v>0</v>
      </c>
      <c r="BB20" s="1078">
        <f>IF(BB$7=1,IFERROR(INDEX('RI raw'!$B$9:$J$22,MATCH('State Programs Summary'!BB$6,'RI raw'!$B$9:$B$22,0),MATCH('State Programs Summary'!$A20,'RI raw'!$B$1:$J$1,0)), 0)*1000,NA())</f>
        <v>0</v>
      </c>
      <c r="BC20" s="1078">
        <f>IF(BC$7=1,IFERROR(INDEX('RI raw'!$B$9:$J$22,MATCH('State Programs Summary'!BC$6,'RI raw'!$B$9:$B$22,0),MATCH('State Programs Summary'!$A20,'RI raw'!$B$1:$J$1,0)), 0)*1000,NA())</f>
        <v>0</v>
      </c>
      <c r="BD20" s="1078" t="e">
        <f>IF(BD$7=1,IFERROR(INDEX('RI raw'!$B$9:$J$22,MATCH('State Programs Summary'!BD$6,'RI raw'!$B$9:$B$22,0),MATCH('State Programs Summary'!$A20,'RI raw'!$B$1:$J$1,0)), 0)*1000,NA())</f>
        <v>#N/A</v>
      </c>
      <c r="BE20" s="1078">
        <f>IF(BE$7=1,IFERROR(INDEX('RI raw'!$B$9:$J$22,MATCH('State Programs Summary'!BE$6,'RI raw'!$B$9:$B$22,0),MATCH('State Programs Summary'!$A20,'RI raw'!$B$1:$J$1,0)), 0)*1000,NA())</f>
        <v>0</v>
      </c>
      <c r="BF20" s="1078">
        <f>IF(BF$7=1,IFERROR(INDEX('RI raw'!$B$9:$J$22,MATCH('State Programs Summary'!BF$6,'RI raw'!$B$9:$B$22,0),MATCH('State Programs Summary'!$A20,'RI raw'!$B$1:$J$1,0)), 0)*1000,NA())</f>
        <v>0</v>
      </c>
      <c r="BG20" s="1078">
        <f>IF(BG$7=1,IFERROR(INDEX('RI raw'!$B$9:$J$22,MATCH('State Programs Summary'!BG$6,'RI raw'!$B$9:$B$22,0),MATCH('State Programs Summary'!$A20,'RI raw'!$B$1:$J$1,0)), 0)*1000,NA())</f>
        <v>0</v>
      </c>
      <c r="BH20" s="1078">
        <f>IF(BH$7=1,IFERROR(INDEX('RI raw'!$B$9:$J$22,MATCH('State Programs Summary'!BH$6,'RI raw'!$B$9:$B$22,0),MATCH('State Programs Summary'!$A20,'RI raw'!$B$1:$J$1,0)), 0)*1000,NA())</f>
        <v>0</v>
      </c>
      <c r="BI20" s="1078">
        <f>IF(BI$7=1,IFERROR(INDEX('RI raw'!$B$9:$J$22,MATCH('State Programs Summary'!BI$6,'RI raw'!$B$9:$B$22,0),MATCH('State Programs Summary'!$A20,'RI raw'!$B$1:$J$1,0)), 0)*1000,NA())</f>
        <v>0</v>
      </c>
    </row>
    <row r="21" spans="1:61">
      <c r="A21" s="817">
        <v>3</v>
      </c>
      <c r="B21" s="818"/>
      <c r="C21" s="813" t="s">
        <v>538</v>
      </c>
      <c r="D21" s="765" t="s">
        <v>275</v>
      </c>
      <c r="E21" s="1066">
        <f ca="1">SUMIFS('State Programs Summary'!$G21:$BI21,'State Programs Summary'!$G$7:$BI$7,1)</f>
        <v>485896942</v>
      </c>
      <c r="F21" s="1066"/>
      <c r="G21" s="1078">
        <f>SUMIFS('VT raw'!$E:$E,'VT raw'!$A:$A,$A21)</f>
        <v>316470</v>
      </c>
      <c r="H21" s="1078">
        <f>SUMIFS('VT raw'!$F:$F,'VT raw'!$A:$A,$A21)</f>
        <v>4561760</v>
      </c>
      <c r="I21" s="1078">
        <f>SUMIFS('VT raw'!$G:$G,'VT raw'!$A:$A,$A21)</f>
        <v>2098380</v>
      </c>
      <c r="J21" s="1078">
        <f>SUMIFS('VT raw'!$H:$H,'VT raw'!$A:$A,$A21)</f>
        <v>1422478</v>
      </c>
      <c r="K21" s="1078">
        <f>SUMIFS('VT raw'!$I:$I,'VT raw'!$A:$A,$A21)</f>
        <v>9788638</v>
      </c>
      <c r="L21" s="1078">
        <f>SUMIFS('NH raw'!$10:$10,'NH raw'!$1:$1,$A21)</f>
        <v>985439</v>
      </c>
      <c r="M21" s="1078">
        <f>SUMIFS('NH raw'!$17:$17,'NH raw'!$1:$1,$A21)</f>
        <v>1195715</v>
      </c>
      <c r="N21" s="1078">
        <f>SUMIFS('NH raw'!$24:$24,'NH raw'!$1:$1,$A21)</f>
        <v>848015</v>
      </c>
      <c r="O21" s="1078">
        <f>SUMIFS('NH raw'!$31:$31,'NH raw'!$1:$1,$A21)</f>
        <v>2543843</v>
      </c>
      <c r="P21" s="1078">
        <f>SUMIFS('NH raw'!$38:$38,'NH raw'!$1:$1,$A21)</f>
        <v>634378</v>
      </c>
      <c r="Q21" s="1078">
        <f>SUMIFS('NH raw'!$46:$46,'NH raw'!$1:$1,$A21)</f>
        <v>2319846</v>
      </c>
      <c r="R21" s="1078">
        <f>SUMIFS('NH raw'!$53:$53,'NH raw'!$1:$1,$A21)</f>
        <v>2471948</v>
      </c>
      <c r="S21" s="1078">
        <f>SUMIFS('NH raw'!$60:$60,'NH raw'!$1:$1,$A21)</f>
        <v>2719006</v>
      </c>
      <c r="T21" s="1078">
        <f>IFERROR(INDEX('ME raw'!$B$1:$H$17,MATCH(T$6,'ME raw'!$B$1:$B$17,0),MATCH($A21,'ME raw'!$B$1:$F$1,0)),0)</f>
        <v>6374703</v>
      </c>
      <c r="U21" s="1078">
        <f>IFERROR(INDEX('ME raw'!$B$1:$H$17,MATCH(U$6,'ME raw'!$B$1:$B$17,0),MATCH($A21,'ME raw'!$B$1:$F$1,0)),0)</f>
        <v>2926387</v>
      </c>
      <c r="V21" s="1078">
        <f>IFERROR(INDEX('ME raw'!$B$1:$H$17,MATCH(V$6,'ME raw'!$B$1:$B$17,0),MATCH($A21,'ME raw'!$B$1:$F$1,0)),0)</f>
        <v>1414300</v>
      </c>
      <c r="W21" s="1078">
        <f>IFERROR(INDEX('ME raw'!$B$1:$H$17,MATCH(W$6,'ME raw'!$B$1:$B$17,0),MATCH($A21,'ME raw'!$B$1:$F$1,0)),0)</f>
        <v>4309622</v>
      </c>
      <c r="X21" s="1078">
        <f>(SUMIFS('CT CLP raw'!$10:$10,'CT CLP raw'!$1:$1,$A21))*1000</f>
        <v>3180000</v>
      </c>
      <c r="Y21" s="1078">
        <f>(SUMIFS('CT CLP raw'!$11:$11,'CT CLP raw'!$1:$1,$A21))*1000</f>
        <v>981000</v>
      </c>
      <c r="Z21" s="1078">
        <f>(SUMIFS('CT CLP raw'!$12:$12,'CT CLP raw'!$1:$1,$A21))*1000</f>
        <v>9996000</v>
      </c>
      <c r="AA21" s="1078">
        <f>(SUMIFS('CT CLP raw'!$13:$13,'CT CLP raw'!$1:$1,$A21))*1000</f>
        <v>7767000</v>
      </c>
      <c r="AB21" s="1078">
        <f>(SUMIFS('CT CLP raw'!$14:$14,'CT CLP raw'!$1:$1,$A21))*1000</f>
        <v>6137000</v>
      </c>
      <c r="AC21" s="1078">
        <f>(SUMIFS('CT CLP raw'!$18:$18,'CT CLP raw'!$1:$1,$A21))*1000</f>
        <v>13801000</v>
      </c>
      <c r="AD21" s="1078">
        <f>(SUMIFS('CT CLP raw'!$19:$19,'CT CLP raw'!$1:$1,$A21))*1000</f>
        <v>8619000</v>
      </c>
      <c r="AE21" s="1078">
        <f>SUMIFS('CT UI raw'!$10:$10,'CT UI raw'!$1:$1,$A21)</f>
        <v>1106000</v>
      </c>
      <c r="AF21" s="1078">
        <f>SUMIFS('CT UI raw'!$12:$12,'CT UI raw'!$1:$1,$A21)</f>
        <v>92663</v>
      </c>
      <c r="AG21" s="1078">
        <f>SUMIFS('CT UI raw'!$13:$13,'CT UI raw'!$1:$1,$A21)</f>
        <v>1835212</v>
      </c>
      <c r="AH21" s="1078">
        <f>SUMIFS('CT UI raw'!$14:$14,'CT UI raw'!$1:$1,$A21)</f>
        <v>1851536</v>
      </c>
      <c r="AI21" s="1078">
        <f>SUMIFS('CT UI raw'!$18:$18,'CT UI raw'!$1:$1,$A21)</f>
        <v>1671825</v>
      </c>
      <c r="AJ21" s="1078">
        <f>SUMIFS('CT UI raw'!$22:$22,'CT UI raw'!$1:$1,$A21)</f>
        <v>2374084</v>
      </c>
      <c r="AK21" s="1078">
        <f>SUMIFS('CT UI raw'!$24:$24,'CT UI raw'!$1:$1,$A21)</f>
        <v>1559934</v>
      </c>
      <c r="AL21" s="1078">
        <f ca="1">SUMIFS(OFFSET('MA raw'!$B$8:$I$8,MATCH('State Programs Summary'!AL$6,'MA raw'!$B$9:$B$35,0),0),'MA raw'!$B$1:$I$1,'State Programs Summary'!$A21)</f>
        <v>2490131</v>
      </c>
      <c r="AM21" s="1078">
        <f ca="1">SUMIFS(OFFSET('MA raw'!$B$8:$I$8,MATCH('State Programs Summary'!AM$6,'MA raw'!$B$9:$B$35,0),0),'MA raw'!$B$1:$I$1,'State Programs Summary'!$A21)</f>
        <v>5447917</v>
      </c>
      <c r="AN21" s="1078">
        <f ca="1">SUMIFS(OFFSET('MA raw'!$B$8:$I$8,MATCH('State Programs Summary'!AN$6,'MA raw'!$B$9:$B$35,0),0),'MA raw'!$B$1:$I$1,'State Programs Summary'!$A21)</f>
        <v>15991942</v>
      </c>
      <c r="AO21" s="1078">
        <f ca="1">SUMIFS(OFFSET('MA raw'!$B$8:$I$8,MATCH('State Programs Summary'!AO$6,'MA raw'!$B$9:$B$35,0),0),'MA raw'!$B$1:$I$1,'State Programs Summary'!$A21)</f>
        <v>37865204</v>
      </c>
      <c r="AP21" s="1078">
        <f ca="1">SUMIFS(OFFSET('MA raw'!$B$8:$I$8,MATCH('State Programs Summary'!AP$6,'MA raw'!$B$9:$B$35,0),0),'MA raw'!$B$1:$I$1,'State Programs Summary'!$A21)</f>
        <v>2393223</v>
      </c>
      <c r="AQ21" s="1078">
        <f ca="1">SUMIFS(OFFSET('MA raw'!$B$8:$I$8,MATCH('State Programs Summary'!AQ$6,'MA raw'!$B$9:$B$35,0),0),'MA raw'!$B$1:$I$1,'State Programs Summary'!$A21)</f>
        <v>15601995</v>
      </c>
      <c r="AR21" s="1078">
        <f ca="1">SUMIFS(OFFSET('MA raw'!$B$8:$I$8,MATCH('State Programs Summary'!AR$6,'MA raw'!$B$9:$B$35,0),0),'MA raw'!$B$1:$I$1,'State Programs Summary'!$A21)</f>
        <v>3790090</v>
      </c>
      <c r="AS21" s="1078">
        <f ca="1">SUMIFS(OFFSET('MA raw'!$B$8:$I$8,MATCH('State Programs Summary'!AS$6,'MA raw'!$B$9:$B$35,0),0),'MA raw'!$B$1:$I$1,'State Programs Summary'!$A21)</f>
        <v>52150364</v>
      </c>
      <c r="AT21" s="1078">
        <f ca="1">SUMIFS(OFFSET('MA raw'!$B$8:$I$8,MATCH('State Programs Summary'!AT$6,'MA raw'!$B$9:$B$35,0),0),'MA raw'!$B$1:$I$1,'State Programs Summary'!$A21)</f>
        <v>825627</v>
      </c>
      <c r="AU21" s="1078">
        <f ca="1">SUMIFS(OFFSET('MA raw'!$B$8:$I$8,MATCH('State Programs Summary'!AU$6,'MA raw'!$B$9:$B$35,0),0),'MA raw'!$B$1:$I$1,'State Programs Summary'!$A21)</f>
        <v>132830648</v>
      </c>
      <c r="AV21" s="1078">
        <f ca="1">SUMIFS(OFFSET('MA raw'!$B$8:$I$8,MATCH('State Programs Summary'!AV$6,'MA raw'!$B$9:$B$35,0),0),'MA raw'!$B$1:$I$1,'State Programs Summary'!$A21)</f>
        <v>803398</v>
      </c>
      <c r="AW21" s="1078">
        <f ca="1">SUMIFS(OFFSET('MA raw'!$B$8:$I$8,MATCH('State Programs Summary'!AW$6,'MA raw'!$B$9:$B$35,0),0),'MA raw'!$B$1:$I$1,'State Programs Summary'!$A21)</f>
        <v>65454833</v>
      </c>
      <c r="AX21" s="1078">
        <f ca="1">SUMIFS(OFFSET('MA raw'!$B$8:$I$8,MATCH('State Programs Summary'!AX$6,'MA raw'!$B$9:$B$35,0),0),'MA raw'!$B$1:$I$1,'State Programs Summary'!$A21)</f>
        <v>8129367</v>
      </c>
      <c r="AY21" s="1078">
        <f ca="1">SUMIFS(OFFSET('MA raw'!$B$8:$I$8,MATCH('State Programs Summary'!AY$6,'MA raw'!$B$9:$B$35,0),0),'MA raw'!$B$1:$I$1,'State Programs Summary'!$A21)</f>
        <v>1336023</v>
      </c>
      <c r="AZ21" s="1078">
        <f ca="1">SUMIFS(OFFSET('MA raw'!$B$8:$I$8,MATCH('State Programs Summary'!AZ$6,'MA raw'!$B$9:$B$35,0),0),'MA raw'!$B$1:$I$1,'State Programs Summary'!$A21)</f>
        <v>42570915</v>
      </c>
      <c r="BA21" s="1078">
        <f>IF(BA$7=1,IFERROR(INDEX('RI raw'!$B$9:$J$22,MATCH('State Programs Summary'!BA$6,'RI raw'!$B$9:$B$22,0),MATCH('State Programs Summary'!$A21,'RI raw'!$B$1:$J$1,0)), 0)*1000,NA())</f>
        <v>6269000</v>
      </c>
      <c r="BB21" s="1078">
        <f>IF(BB$7=1,IFERROR(INDEX('RI raw'!$B$9:$J$22,MATCH('State Programs Summary'!BB$6,'RI raw'!$B$9:$B$22,0),MATCH('State Programs Summary'!$A21,'RI raw'!$B$1:$J$1,0)), 0)*1000,NA())</f>
        <v>10640100</v>
      </c>
      <c r="BC21" s="1078">
        <f>IF(BC$7=1,IFERROR(INDEX('RI raw'!$B$9:$J$22,MATCH('State Programs Summary'!BC$6,'RI raw'!$B$9:$B$22,0),MATCH('State Programs Summary'!$A21,'RI raw'!$B$1:$J$1,0)), 0)*1000,NA())</f>
        <v>11865000</v>
      </c>
      <c r="BD21" s="1078" t="e">
        <f>IF(BD$7=1,IFERROR(INDEX('RI raw'!$B$9:$J$22,MATCH('State Programs Summary'!BD$6,'RI raw'!$B$9:$B$22,0),MATCH('State Programs Summary'!$A21,'RI raw'!$B$1:$J$1,0)), 0)*1000,NA())</f>
        <v>#N/A</v>
      </c>
      <c r="BE21" s="1078">
        <f>IF(BE$7=1,IFERROR(INDEX('RI raw'!$B$9:$J$22,MATCH('State Programs Summary'!BE$6,'RI raw'!$B$9:$B$22,0),MATCH('State Programs Summary'!$A21,'RI raw'!$B$1:$J$1,0)), 0)*1000,NA())</f>
        <v>1036000</v>
      </c>
      <c r="BF21" s="1078">
        <f>IF(BF$7=1,IFERROR(INDEX('RI raw'!$B$9:$J$22,MATCH('State Programs Summary'!BF$6,'RI raw'!$B$9:$B$22,0),MATCH('State Programs Summary'!$A21,'RI raw'!$B$1:$J$1,0)), 0)*1000,NA())</f>
        <v>2477000</v>
      </c>
      <c r="BG21" s="1078">
        <f>IF(BG$7=1,IFERROR(INDEX('RI raw'!$B$9:$J$22,MATCH('State Programs Summary'!BG$6,'RI raw'!$B$9:$B$22,0),MATCH('State Programs Summary'!$A21,'RI raw'!$B$1:$J$1,0)), 0)*1000,NA())</f>
        <v>7541500</v>
      </c>
      <c r="BH21" s="1078">
        <f>IF(BH$7=1,IFERROR(INDEX('RI raw'!$B$9:$J$22,MATCH('State Programs Summary'!BH$6,'RI raw'!$B$9:$B$22,0),MATCH('State Programs Summary'!$A21,'RI raw'!$B$1:$J$1,0)), 0)*1000,NA())</f>
        <v>4507400</v>
      </c>
      <c r="BI21" s="1078">
        <f>IF(BI$7=1,IFERROR(INDEX('RI raw'!$B$9:$J$22,MATCH('State Programs Summary'!BI$6,'RI raw'!$B$9:$B$22,0),MATCH('State Programs Summary'!$A21,'RI raw'!$B$1:$J$1,0)), 0)*1000,NA())</f>
        <v>2045400</v>
      </c>
    </row>
    <row r="22" spans="1:61">
      <c r="A22" s="817">
        <v>4</v>
      </c>
      <c r="B22" s="818"/>
      <c r="C22" s="813" t="s">
        <v>539</v>
      </c>
      <c r="D22" s="765" t="s">
        <v>275</v>
      </c>
      <c r="E22" s="1066">
        <f ca="1">SUMIFS('State Programs Summary'!$G22:$BI22,'State Programs Summary'!$G$7:$BI$7,1)</f>
        <v>46659760</v>
      </c>
      <c r="F22" s="1066"/>
      <c r="G22" s="1078">
        <f>SUMIFS('VT raw'!$E:$E,'VT raw'!$A:$A,$A22)</f>
        <v>480608</v>
      </c>
      <c r="H22" s="1078">
        <f>SUMIFS('VT raw'!$F:$F,'VT raw'!$A:$A,$A22)</f>
        <v>738973</v>
      </c>
      <c r="I22" s="1078">
        <f>SUMIFS('VT raw'!$G:$G,'VT raw'!$A:$A,$A22)</f>
        <v>713227</v>
      </c>
      <c r="J22" s="1078">
        <f>SUMIFS('VT raw'!$H:$H,'VT raw'!$A:$A,$A22)</f>
        <v>743000</v>
      </c>
      <c r="K22" s="1078">
        <f>SUMIFS('VT raw'!$I:$I,'VT raw'!$A:$A,$A22)</f>
        <v>1510365</v>
      </c>
      <c r="L22" s="1078">
        <f>SUMIFS('NH raw'!$10:$10,'NH raw'!$1:$1,$A22)</f>
        <v>85814</v>
      </c>
      <c r="M22" s="1078">
        <f>SUMIFS('NH raw'!$17:$17,'NH raw'!$1:$1,$A22)</f>
        <v>121981</v>
      </c>
      <c r="N22" s="1078">
        <f>SUMIFS('NH raw'!$24:$24,'NH raw'!$1:$1,$A22)</f>
        <v>83440</v>
      </c>
      <c r="O22" s="1078">
        <f>SUMIFS('NH raw'!$31:$31,'NH raw'!$1:$1,$A22)</f>
        <v>135060</v>
      </c>
      <c r="P22" s="1078">
        <f>SUMIFS('NH raw'!$38:$38,'NH raw'!$1:$1,$A22)</f>
        <v>304243</v>
      </c>
      <c r="Q22" s="1078">
        <f>SUMIFS('NH raw'!$46:$46,'NH raw'!$1:$1,$A22)</f>
        <v>107491</v>
      </c>
      <c r="R22" s="1078">
        <f>SUMIFS('NH raw'!$53:$53,'NH raw'!$1:$1,$A22)</f>
        <v>141394</v>
      </c>
      <c r="S22" s="1078">
        <f>SUMIFS('NH raw'!$60:$60,'NH raw'!$1:$1,$A22)</f>
        <v>186064</v>
      </c>
      <c r="T22" s="1078">
        <f>IFERROR(INDEX('ME raw'!$B$1:$H$17,MATCH(T$6,'ME raw'!$B$1:$B$17,0),MATCH($A22,'ME raw'!$B$1:$F$1,0)),0)</f>
        <v>160570</v>
      </c>
      <c r="U22" s="1078">
        <f>IFERROR(INDEX('ME raw'!$B$1:$H$17,MATCH(U$6,'ME raw'!$B$1:$B$17,0),MATCH($A22,'ME raw'!$B$1:$F$1,0)),0)</f>
        <v>180215</v>
      </c>
      <c r="V22" s="1078">
        <f>IFERROR(INDEX('ME raw'!$B$1:$H$17,MATCH(V$6,'ME raw'!$B$1:$B$17,0),MATCH($A22,'ME raw'!$B$1:$F$1,0)),0)</f>
        <v>67593</v>
      </c>
      <c r="W22" s="1078">
        <f>IFERROR(INDEX('ME raw'!$B$1:$H$17,MATCH(W$6,'ME raw'!$B$1:$B$17,0),MATCH($A22,'ME raw'!$B$1:$F$1,0)),0)</f>
        <v>172883</v>
      </c>
      <c r="X22" s="1078">
        <f>(SUMIFS('CT CLP raw'!$10:$10,'CT CLP raw'!$1:$1,$A22))*1000</f>
        <v>650000</v>
      </c>
      <c r="Y22" s="1078">
        <f>(SUMIFS('CT CLP raw'!$11:$11,'CT CLP raw'!$1:$1,$A22))*1000</f>
        <v>40000</v>
      </c>
      <c r="Z22" s="1078">
        <f>(SUMIFS('CT CLP raw'!$12:$12,'CT CLP raw'!$1:$1,$A22))*1000</f>
        <v>432000</v>
      </c>
      <c r="AA22" s="1078">
        <f>(SUMIFS('CT CLP raw'!$13:$13,'CT CLP raw'!$1:$1,$A22))*1000</f>
        <v>393000</v>
      </c>
      <c r="AB22" s="1078">
        <f>(SUMIFS('CT CLP raw'!$14:$14,'CT CLP raw'!$1:$1,$A22))*1000</f>
        <v>218000</v>
      </c>
      <c r="AC22" s="1078">
        <f>(SUMIFS('CT CLP raw'!$18:$18,'CT CLP raw'!$1:$1,$A22))*1000</f>
        <v>413000</v>
      </c>
      <c r="AD22" s="1078">
        <f>(SUMIFS('CT CLP raw'!$19:$19,'CT CLP raw'!$1:$1,$A22))*1000</f>
        <v>1817000</v>
      </c>
      <c r="AE22" s="1078">
        <f>SUMIFS('CT UI raw'!$10:$10,'CT UI raw'!$1:$1,$A22)</f>
        <v>270450</v>
      </c>
      <c r="AF22" s="1078">
        <f>SUMIFS('CT UI raw'!$12:$12,'CT UI raw'!$1:$1,$A22)</f>
        <v>17500</v>
      </c>
      <c r="AG22" s="1078">
        <f>SUMIFS('CT UI raw'!$13:$13,'CT UI raw'!$1:$1,$A22)</f>
        <v>110600</v>
      </c>
      <c r="AH22" s="1078">
        <f>SUMIFS('CT UI raw'!$14:$14,'CT UI raw'!$1:$1,$A22)</f>
        <v>41500</v>
      </c>
      <c r="AI22" s="1078">
        <f>SUMIFS('CT UI raw'!$18:$18,'CT UI raw'!$1:$1,$A22)</f>
        <v>68000</v>
      </c>
      <c r="AJ22" s="1078">
        <f>SUMIFS('CT UI raw'!$22:$22,'CT UI raw'!$1:$1,$A22)</f>
        <v>213013</v>
      </c>
      <c r="AK22" s="1078">
        <f>SUMIFS('CT UI raw'!$24:$24,'CT UI raw'!$1:$1,$A22)</f>
        <v>341400</v>
      </c>
      <c r="AL22" s="1078">
        <f ca="1">SUMIFS(OFFSET('MA raw'!$B$8:$I$8,MATCH('State Programs Summary'!AL$6,'MA raw'!$B$9:$B$35,0),0),'MA raw'!$B$1:$I$1,'State Programs Summary'!$A22)</f>
        <v>927096</v>
      </c>
      <c r="AM22" s="1078">
        <f ca="1">SUMIFS(OFFSET('MA raw'!$B$8:$I$8,MATCH('State Programs Summary'!AM$6,'MA raw'!$B$9:$B$35,0),0),'MA raw'!$B$1:$I$1,'State Programs Summary'!$A22)</f>
        <v>1237192</v>
      </c>
      <c r="AN22" s="1078">
        <f ca="1">SUMIFS(OFFSET('MA raw'!$B$8:$I$8,MATCH('State Programs Summary'!AN$6,'MA raw'!$B$9:$B$35,0),0),'MA raw'!$B$1:$I$1,'State Programs Summary'!$A22)</f>
        <v>1400731</v>
      </c>
      <c r="AO22" s="1078">
        <f ca="1">SUMIFS(OFFSET('MA raw'!$B$8:$I$8,MATCH('State Programs Summary'!AO$6,'MA raw'!$B$9:$B$35,0),0),'MA raw'!$B$1:$I$1,'State Programs Summary'!$A22)</f>
        <v>4547994</v>
      </c>
      <c r="AP22" s="1078">
        <f ca="1">SUMIFS(OFFSET('MA raw'!$B$8:$I$8,MATCH('State Programs Summary'!AP$6,'MA raw'!$B$9:$B$35,0),0),'MA raw'!$B$1:$I$1,'State Programs Summary'!$A22)</f>
        <v>99927</v>
      </c>
      <c r="AQ22" s="1078">
        <f ca="1">SUMIFS(OFFSET('MA raw'!$B$8:$I$8,MATCH('State Programs Summary'!AQ$6,'MA raw'!$B$9:$B$35,0),0),'MA raw'!$B$1:$I$1,'State Programs Summary'!$A22)</f>
        <v>3256387</v>
      </c>
      <c r="AR22" s="1078">
        <f ca="1">SUMIFS(OFFSET('MA raw'!$B$8:$I$8,MATCH('State Programs Summary'!AR$6,'MA raw'!$B$9:$B$35,0),0),'MA raw'!$B$1:$I$1,'State Programs Summary'!$A22)</f>
        <v>1310592</v>
      </c>
      <c r="AS22" s="1078">
        <f ca="1">SUMIFS(OFFSET('MA raw'!$B$8:$I$8,MATCH('State Programs Summary'!AS$6,'MA raw'!$B$9:$B$35,0),0),'MA raw'!$B$1:$I$1,'State Programs Summary'!$A22)</f>
        <v>7699991</v>
      </c>
      <c r="AT22" s="1078">
        <f ca="1">SUMIFS(OFFSET('MA raw'!$B$8:$I$8,MATCH('State Programs Summary'!AT$6,'MA raw'!$B$9:$B$35,0),0),'MA raw'!$B$1:$I$1,'State Programs Summary'!$A22)</f>
        <v>24272</v>
      </c>
      <c r="AU22" s="1078">
        <f ca="1">SUMIFS(OFFSET('MA raw'!$B$8:$I$8,MATCH('State Programs Summary'!AU$6,'MA raw'!$B$9:$B$35,0),0),'MA raw'!$B$1:$I$1,'State Programs Summary'!$A22)</f>
        <v>12405784</v>
      </c>
      <c r="AV22" s="1078">
        <f ca="1">SUMIFS(OFFSET('MA raw'!$B$8:$I$8,MATCH('State Programs Summary'!AV$6,'MA raw'!$B$9:$B$35,0),0),'MA raw'!$B$1:$I$1,'State Programs Summary'!$A22)</f>
        <v>23619</v>
      </c>
      <c r="AW22" s="1078">
        <f ca="1">SUMIFS(OFFSET('MA raw'!$B$8:$I$8,MATCH('State Programs Summary'!AW$6,'MA raw'!$B$9:$B$35,0),0),'MA raw'!$B$1:$I$1,'State Programs Summary'!$A22)</f>
        <v>3229244</v>
      </c>
      <c r="AX22" s="1078">
        <f ca="1">SUMIFS(OFFSET('MA raw'!$B$8:$I$8,MATCH('State Programs Summary'!AX$6,'MA raw'!$B$9:$B$35,0),0),'MA raw'!$B$1:$I$1,'State Programs Summary'!$A22)</f>
        <v>108107</v>
      </c>
      <c r="AY22" s="1078">
        <f ca="1">SUMIFS(OFFSET('MA raw'!$B$8:$I$8,MATCH('State Programs Summary'!AY$6,'MA raw'!$B$9:$B$35,0),0),'MA raw'!$B$1:$I$1,'State Programs Summary'!$A22)</f>
        <v>140144</v>
      </c>
      <c r="AZ22" s="1078">
        <f ca="1">SUMIFS(OFFSET('MA raw'!$B$8:$I$8,MATCH('State Programs Summary'!AZ$6,'MA raw'!$B$9:$B$35,0),0),'MA raw'!$B$1:$I$1,'State Programs Summary'!$A22)</f>
        <v>3591743</v>
      </c>
      <c r="BA22" s="1078">
        <f>IF(BA$7=1,IFERROR(INDEX('RI raw'!$B$9:$J$22,MATCH('State Programs Summary'!BA$6,'RI raw'!$B$9:$B$22,0),MATCH('State Programs Summary'!$A22,'RI raw'!$B$1:$J$1,0)), 0)*1000,NA())</f>
        <v>0</v>
      </c>
      <c r="BB22" s="1078">
        <f>IF(BB$7=1,IFERROR(INDEX('RI raw'!$B$9:$J$22,MATCH('State Programs Summary'!BB$6,'RI raw'!$B$9:$B$22,0),MATCH('State Programs Summary'!$A22,'RI raw'!$B$1:$J$1,0)), 0)*1000,NA())</f>
        <v>0</v>
      </c>
      <c r="BC22" s="1078">
        <f>IF(BC$7=1,IFERROR(INDEX('RI raw'!$B$9:$J$22,MATCH('State Programs Summary'!BC$6,'RI raw'!$B$9:$B$22,0),MATCH('State Programs Summary'!$A22,'RI raw'!$B$1:$J$1,0)), 0)*1000,NA())</f>
        <v>0</v>
      </c>
      <c r="BD22" s="1078" t="e">
        <f>IF(BD$7=1,IFERROR(INDEX('RI raw'!$B$9:$J$22,MATCH('State Programs Summary'!BD$6,'RI raw'!$B$9:$B$22,0),MATCH('State Programs Summary'!$A22,'RI raw'!$B$1:$J$1,0)), 0)*1000,NA())</f>
        <v>#N/A</v>
      </c>
      <c r="BE22" s="1078">
        <f>IF(BE$7=1,IFERROR(INDEX('RI raw'!$B$9:$J$22,MATCH('State Programs Summary'!BE$6,'RI raw'!$B$9:$B$22,0),MATCH('State Programs Summary'!$A22,'RI raw'!$B$1:$J$1,0)), 0)*1000,NA())</f>
        <v>0</v>
      </c>
      <c r="BF22" s="1078">
        <f>IF(BF$7=1,IFERROR(INDEX('RI raw'!$B$9:$J$22,MATCH('State Programs Summary'!BF$6,'RI raw'!$B$9:$B$22,0),MATCH('State Programs Summary'!$A22,'RI raw'!$B$1:$J$1,0)), 0)*1000,NA())</f>
        <v>0</v>
      </c>
      <c r="BG22" s="1078">
        <f>IF(BG$7=1,IFERROR(INDEX('RI raw'!$B$9:$J$22,MATCH('State Programs Summary'!BG$6,'RI raw'!$B$9:$B$22,0),MATCH('State Programs Summary'!$A22,'RI raw'!$B$1:$J$1,0)), 0)*1000,NA())</f>
        <v>0</v>
      </c>
      <c r="BH22" s="1078">
        <f>IF(BH$7=1,IFERROR(INDEX('RI raw'!$B$9:$J$22,MATCH('State Programs Summary'!BH$6,'RI raw'!$B$9:$B$22,0),MATCH('State Programs Summary'!$A22,'RI raw'!$B$1:$J$1,0)), 0)*1000,NA())</f>
        <v>0</v>
      </c>
      <c r="BI22" s="1078">
        <f>IF(BI$7=1,IFERROR(INDEX('RI raw'!$B$9:$J$22,MATCH('State Programs Summary'!BI$6,'RI raw'!$B$9:$B$22,0),MATCH('State Programs Summary'!$A22,'RI raw'!$B$1:$J$1,0)), 0)*1000,NA())</f>
        <v>0</v>
      </c>
    </row>
    <row r="23" spans="1:61">
      <c r="A23" s="817">
        <v>5</v>
      </c>
      <c r="B23" s="818"/>
      <c r="C23" s="813" t="s">
        <v>540</v>
      </c>
      <c r="D23" s="765" t="s">
        <v>275</v>
      </c>
      <c r="E23" s="1066">
        <f ca="1">SUMIFS('State Programs Summary'!$G23:$BI23,'State Programs Summary'!$G$7:$BI$7,1)</f>
        <v>316351780</v>
      </c>
      <c r="F23" s="1066"/>
      <c r="G23" s="1078">
        <f>SUMIFS('VT raw'!$E:$E,'VT raw'!$A:$A,$A23)</f>
        <v>1419277</v>
      </c>
      <c r="H23" s="1078">
        <f>SUMIFS('VT raw'!$F:$F,'VT raw'!$A:$A,$A23)</f>
        <v>1817527</v>
      </c>
      <c r="I23" s="1078">
        <f>SUMIFS('VT raw'!$G:$G,'VT raw'!$A:$A,$A23)</f>
        <v>1116210</v>
      </c>
      <c r="J23" s="1078">
        <f>SUMIFS('VT raw'!$H:$H,'VT raw'!$A:$A,$A23)</f>
        <v>5630495</v>
      </c>
      <c r="K23" s="1078">
        <f>SUMIFS('VT raw'!$I:$I,'VT raw'!$A:$A,$A23)</f>
        <v>13400590</v>
      </c>
      <c r="L23" s="1078">
        <f>SUMIFS('NH raw'!$10:$10,'NH raw'!$1:$1,$A23)</f>
        <v>380500</v>
      </c>
      <c r="M23" s="1078">
        <f>SUMIFS('NH raw'!$17:$17,'NH raw'!$1:$1,$A23)</f>
        <v>481300</v>
      </c>
      <c r="N23" s="1078">
        <f>SUMIFS('NH raw'!$24:$24,'NH raw'!$1:$1,$A23)</f>
        <v>1186500</v>
      </c>
      <c r="O23" s="1078">
        <f>SUMIFS('NH raw'!$31:$31,'NH raw'!$1:$1,$A23)</f>
        <v>1895200</v>
      </c>
      <c r="P23" s="1078">
        <f>SUMIFS('NH raw'!$38:$38,'NH raw'!$1:$1,$A23)</f>
        <v>393300</v>
      </c>
      <c r="Q23" s="1078">
        <f>SUMIFS('NH raw'!$46:$46,'NH raw'!$1:$1,$A23)</f>
        <v>811800</v>
      </c>
      <c r="R23" s="1078">
        <f>SUMIFS('NH raw'!$53:$53,'NH raw'!$1:$1,$A23)</f>
        <v>4866600</v>
      </c>
      <c r="S23" s="1078">
        <f>SUMIFS('NH raw'!$60:$60,'NH raw'!$1:$1,$A23)</f>
        <v>2621400</v>
      </c>
      <c r="T23" s="1078">
        <f>IFERROR(INDEX('ME raw'!$B$1:$H$17,MATCH(T$6,'ME raw'!$B$1:$B$17,0),MATCH($A23,'ME raw'!$B$1:$F$1,0)),0)</f>
        <v>25874806</v>
      </c>
      <c r="U23" s="1078">
        <f>IFERROR(INDEX('ME raw'!$B$1:$H$17,MATCH(U$6,'ME raw'!$B$1:$B$17,0),MATCH($A23,'ME raw'!$B$1:$F$1,0)),0)</f>
        <v>249568</v>
      </c>
      <c r="V23" s="1078">
        <f>IFERROR(INDEX('ME raw'!$B$1:$H$17,MATCH(V$6,'ME raw'!$B$1:$B$17,0),MATCH($A23,'ME raw'!$B$1:$F$1,0)),0)</f>
        <v>1248740</v>
      </c>
      <c r="W23" s="1078">
        <f>IFERROR(INDEX('ME raw'!$B$1:$H$17,MATCH(W$6,'ME raw'!$B$1:$B$17,0),MATCH($A23,'ME raw'!$B$1:$F$1,0)),0)</f>
        <v>8632639</v>
      </c>
      <c r="X23" s="1078">
        <f>(SUMIFS('CT CLP raw'!$10:$10,'CT CLP raw'!$1:$1,$A23))*1000</f>
        <v>3103000</v>
      </c>
      <c r="Y23" s="1078">
        <f>(SUMIFS('CT CLP raw'!$11:$11,'CT CLP raw'!$1:$1,$A23))*1000</f>
        <v>749000</v>
      </c>
      <c r="Z23" s="1078">
        <f>(SUMIFS('CT CLP raw'!$12:$12,'CT CLP raw'!$1:$1,$A23))*1000</f>
        <v>3638000</v>
      </c>
      <c r="AA23" s="1078">
        <f>(SUMIFS('CT CLP raw'!$13:$13,'CT CLP raw'!$1:$1,$A23))*1000</f>
        <v>979000</v>
      </c>
      <c r="AB23" s="1078">
        <f>(SUMIFS('CT CLP raw'!$14:$14,'CT CLP raw'!$1:$1,$A23))*1000</f>
        <v>323000</v>
      </c>
      <c r="AC23" s="1078">
        <f>(SUMIFS('CT CLP raw'!$18:$18,'CT CLP raw'!$1:$1,$A23))*1000</f>
        <v>21059000</v>
      </c>
      <c r="AD23" s="1078">
        <f>(SUMIFS('CT CLP raw'!$19:$19,'CT CLP raw'!$1:$1,$A23))*1000</f>
        <v>11897000</v>
      </c>
      <c r="AE23" s="1078">
        <f>SUMIFS('CT UI raw'!$10:$10,'CT UI raw'!$1:$1,$A23)</f>
        <v>958138</v>
      </c>
      <c r="AF23" s="1078">
        <f>SUMIFS('CT UI raw'!$12:$12,'CT UI raw'!$1:$1,$A23)</f>
        <v>154071</v>
      </c>
      <c r="AG23" s="1078">
        <f>SUMIFS('CT UI raw'!$13:$13,'CT UI raw'!$1:$1,$A23)</f>
        <v>348298</v>
      </c>
      <c r="AH23" s="1078">
        <f>SUMIFS('CT UI raw'!$14:$14,'CT UI raw'!$1:$1,$A23)</f>
        <v>641466</v>
      </c>
      <c r="AI23" s="1078">
        <f>SUMIFS('CT UI raw'!$18:$18,'CT UI raw'!$1:$1,$A23)</f>
        <v>690775</v>
      </c>
      <c r="AJ23" s="1078">
        <f>SUMIFS('CT UI raw'!$22:$22,'CT UI raw'!$1:$1,$A23)</f>
        <v>5408532</v>
      </c>
      <c r="AK23" s="1078">
        <f>SUMIFS('CT UI raw'!$24:$24,'CT UI raw'!$1:$1,$A23)</f>
        <v>5408532</v>
      </c>
      <c r="AL23" s="1078">
        <f ca="1">SUMIFS(OFFSET('MA raw'!$B$8:$I$8,MATCH('State Programs Summary'!AL$6,'MA raw'!$B$9:$B$35,0),0),'MA raw'!$B$1:$I$1,'State Programs Summary'!$A23)</f>
        <v>6549924</v>
      </c>
      <c r="AM23" s="1078">
        <f ca="1">SUMIFS(OFFSET('MA raw'!$B$8:$I$8,MATCH('State Programs Summary'!AM$6,'MA raw'!$B$9:$B$35,0),0),'MA raw'!$B$1:$I$1,'State Programs Summary'!$A23)</f>
        <v>42995</v>
      </c>
      <c r="AN23" s="1078">
        <f ca="1">SUMIFS(OFFSET('MA raw'!$B$8:$I$8,MATCH('State Programs Summary'!AN$6,'MA raw'!$B$9:$B$35,0),0),'MA raw'!$B$1:$I$1,'State Programs Summary'!$A23)</f>
        <v>319204</v>
      </c>
      <c r="AO23" s="1078">
        <f ca="1">SUMIFS(OFFSET('MA raw'!$B$8:$I$8,MATCH('State Programs Summary'!AO$6,'MA raw'!$B$9:$B$35,0),0),'MA raw'!$B$1:$I$1,'State Programs Summary'!$A23)</f>
        <v>12494301</v>
      </c>
      <c r="AP23" s="1078">
        <f ca="1">SUMIFS(OFFSET('MA raw'!$B$8:$I$8,MATCH('State Programs Summary'!AP$6,'MA raw'!$B$9:$B$35,0),0),'MA raw'!$B$1:$I$1,'State Programs Summary'!$A23)</f>
        <v>0</v>
      </c>
      <c r="AQ23" s="1078">
        <f ca="1">SUMIFS(OFFSET('MA raw'!$B$8:$I$8,MATCH('State Programs Summary'!AQ$6,'MA raw'!$B$9:$B$35,0),0),'MA raw'!$B$1:$I$1,'State Programs Summary'!$A23)</f>
        <v>2828157</v>
      </c>
      <c r="AR23" s="1078">
        <f ca="1">SUMIFS(OFFSET('MA raw'!$B$8:$I$8,MATCH('State Programs Summary'!AR$6,'MA raw'!$B$9:$B$35,0),0),'MA raw'!$B$1:$I$1,'State Programs Summary'!$A23)</f>
        <v>2484970</v>
      </c>
      <c r="AS23" s="1078">
        <f ca="1">SUMIFS(OFFSET('MA raw'!$B$8:$I$8,MATCH('State Programs Summary'!AS$6,'MA raw'!$B$9:$B$35,0),0),'MA raw'!$B$1:$I$1,'State Programs Summary'!$A23)</f>
        <v>12812950</v>
      </c>
      <c r="AT23" s="1078">
        <f ca="1">SUMIFS(OFFSET('MA raw'!$B$8:$I$8,MATCH('State Programs Summary'!AT$6,'MA raw'!$B$9:$B$35,0),0),'MA raw'!$B$1:$I$1,'State Programs Summary'!$A23)</f>
        <v>0</v>
      </c>
      <c r="AU23" s="1078">
        <f ca="1">SUMIFS(OFFSET('MA raw'!$B$8:$I$8,MATCH('State Programs Summary'!AU$6,'MA raw'!$B$9:$B$35,0),0),'MA raw'!$B$1:$I$1,'State Programs Summary'!$A23)</f>
        <v>123449775</v>
      </c>
      <c r="AV23" s="1078">
        <f ca="1">SUMIFS(OFFSET('MA raw'!$B$8:$I$8,MATCH('State Programs Summary'!AV$6,'MA raw'!$B$9:$B$35,0),0),'MA raw'!$B$1:$I$1,'State Programs Summary'!$A23)</f>
        <v>0</v>
      </c>
      <c r="AW23" s="1078">
        <f ca="1">SUMIFS(OFFSET('MA raw'!$B$8:$I$8,MATCH('State Programs Summary'!AW$6,'MA raw'!$B$9:$B$35,0),0),'MA raw'!$B$1:$I$1,'State Programs Summary'!$A23)</f>
        <v>19238706</v>
      </c>
      <c r="AX23" s="1078">
        <f ca="1">SUMIFS(OFFSET('MA raw'!$B$8:$I$8,MATCH('State Programs Summary'!AX$6,'MA raw'!$B$9:$B$35,0),0),'MA raw'!$B$1:$I$1,'State Programs Summary'!$A23)</f>
        <v>0</v>
      </c>
      <c r="AY23" s="1078">
        <f ca="1">SUMIFS(OFFSET('MA raw'!$B$8:$I$8,MATCH('State Programs Summary'!AY$6,'MA raw'!$B$9:$B$35,0),0),'MA raw'!$B$1:$I$1,'State Programs Summary'!$A23)</f>
        <v>140887</v>
      </c>
      <c r="AZ23" s="1078">
        <f ca="1">SUMIFS(OFFSET('MA raw'!$B$8:$I$8,MATCH('State Programs Summary'!AZ$6,'MA raw'!$B$9:$B$35,0),0),'MA raw'!$B$1:$I$1,'State Programs Summary'!$A23)</f>
        <v>0</v>
      </c>
      <c r="BA23" s="1078">
        <f>IF(BA$7=1,IFERROR(INDEX('RI raw'!$B$9:$J$22,MATCH('State Programs Summary'!BA$6,'RI raw'!$B$9:$B$22,0),MATCH('State Programs Summary'!$A23,'RI raw'!$B$1:$J$1,0)), 0)*1000,NA())</f>
        <v>558000</v>
      </c>
      <c r="BB23" s="1078">
        <f>IF(BB$7=1,IFERROR(INDEX('RI raw'!$B$9:$J$22,MATCH('State Programs Summary'!BB$6,'RI raw'!$B$9:$B$22,0),MATCH('State Programs Summary'!$A23,'RI raw'!$B$1:$J$1,0)), 0)*1000,NA())</f>
        <v>7422900</v>
      </c>
      <c r="BC23" s="1078">
        <f>IF(BC$7=1,IFERROR(INDEX('RI raw'!$B$9:$J$22,MATCH('State Programs Summary'!BC$6,'RI raw'!$B$9:$B$22,0),MATCH('State Programs Summary'!$A23,'RI raw'!$B$1:$J$1,0)), 0)*1000,NA())</f>
        <v>2310400</v>
      </c>
      <c r="BD23" s="1078" t="e">
        <f>IF(BD$7=1,IFERROR(INDEX('RI raw'!$B$9:$J$22,MATCH('State Programs Summary'!BD$6,'RI raw'!$B$9:$B$22,0),MATCH('State Programs Summary'!$A23,'RI raw'!$B$1:$J$1,0)), 0)*1000,NA())</f>
        <v>#N/A</v>
      </c>
      <c r="BE23" s="1078">
        <f>IF(BE$7=1,IFERROR(INDEX('RI raw'!$B$9:$J$22,MATCH('State Programs Summary'!BE$6,'RI raw'!$B$9:$B$22,0),MATCH('State Programs Summary'!$A23,'RI raw'!$B$1:$J$1,0)), 0)*1000,NA())</f>
        <v>378300</v>
      </c>
      <c r="BF23" s="1078">
        <f>IF(BF$7=1,IFERROR(INDEX('RI raw'!$B$9:$J$22,MATCH('State Programs Summary'!BF$6,'RI raw'!$B$9:$B$22,0),MATCH('State Programs Summary'!$A23,'RI raw'!$B$1:$J$1,0)), 0)*1000,NA())</f>
        <v>669000</v>
      </c>
      <c r="BG23" s="1078">
        <f>IF(BG$7=1,IFERROR(INDEX('RI raw'!$B$9:$J$22,MATCH('State Programs Summary'!BG$6,'RI raw'!$B$9:$B$22,0),MATCH('State Programs Summary'!$A23,'RI raw'!$B$1:$J$1,0)), 0)*1000,NA())</f>
        <v>923600</v>
      </c>
      <c r="BH23" s="1078">
        <f>IF(BH$7=1,IFERROR(INDEX('RI raw'!$B$9:$J$22,MATCH('State Programs Summary'!BH$6,'RI raw'!$B$9:$B$22,0),MATCH('State Programs Summary'!$A23,'RI raw'!$B$1:$J$1,0)), 0)*1000,NA())</f>
        <v>0</v>
      </c>
      <c r="BI23" s="1078">
        <f>IF(BI$7=1,IFERROR(INDEX('RI raw'!$B$9:$J$22,MATCH('State Programs Summary'!BI$6,'RI raw'!$B$9:$B$22,0),MATCH('State Programs Summary'!$A23,'RI raw'!$B$1:$J$1,0)), 0)*1000,NA())</f>
        <v>0</v>
      </c>
    </row>
    <row r="24" spans="1:61">
      <c r="A24" s="817">
        <v>6</v>
      </c>
      <c r="B24" s="818"/>
      <c r="C24" s="813" t="s">
        <v>541</v>
      </c>
      <c r="D24" s="765" t="s">
        <v>275</v>
      </c>
      <c r="E24" s="1066">
        <f ca="1">SUMIFS('State Programs Summary'!$G24:$BI24,'State Programs Summary'!$G$7:$BI$7,1)</f>
        <v>20717350</v>
      </c>
      <c r="F24" s="1066"/>
      <c r="G24" s="1078">
        <f>SUMIFS('VT raw'!$E:$E,'VT raw'!$A:$A,$A24)</f>
        <v>16007</v>
      </c>
      <c r="H24" s="1078">
        <f>SUMIFS('VT raw'!$F:$F,'VT raw'!$A:$A,$A24)</f>
        <v>14065</v>
      </c>
      <c r="I24" s="1078">
        <f>SUMIFS('VT raw'!$G:$G,'VT raw'!$A:$A,$A24)</f>
        <v>16542</v>
      </c>
      <c r="J24" s="1078">
        <f>SUMIFS('VT raw'!$H:$H,'VT raw'!$A:$A,$A24)</f>
        <v>39955</v>
      </c>
      <c r="K24" s="1078">
        <f>SUMIFS('VT raw'!$I:$I,'VT raw'!$A:$A,$A24)</f>
        <v>98233</v>
      </c>
      <c r="L24" s="1078">
        <f>SUMIFS('NH raw'!$10:$10,'NH raw'!$1:$1,$A24)</f>
        <v>26052</v>
      </c>
      <c r="M24" s="1078">
        <f>SUMIFS('NH raw'!$17:$17,'NH raw'!$1:$1,$A24)</f>
        <v>44880</v>
      </c>
      <c r="N24" s="1078">
        <f>SUMIFS('NH raw'!$24:$24,'NH raw'!$1:$1,$A24)</f>
        <v>14098</v>
      </c>
      <c r="O24" s="1078">
        <f>SUMIFS('NH raw'!$31:$31,'NH raw'!$1:$1,$A24)</f>
        <v>27815</v>
      </c>
      <c r="P24" s="1078">
        <f>SUMIFS('NH raw'!$38:$38,'NH raw'!$1:$1,$A24)</f>
        <v>28121</v>
      </c>
      <c r="Q24" s="1078">
        <f>SUMIFS('NH raw'!$46:$46,'NH raw'!$1:$1,$A24)</f>
        <v>96896</v>
      </c>
      <c r="R24" s="1078">
        <f>SUMIFS('NH raw'!$53:$53,'NH raw'!$1:$1,$A24)</f>
        <v>39163</v>
      </c>
      <c r="S24" s="1078">
        <f>SUMIFS('NH raw'!$60:$60,'NH raw'!$1:$1,$A24)</f>
        <v>100583</v>
      </c>
      <c r="T24" s="1078">
        <f>IFERROR(INDEX('ME raw'!$B$1:$H$17,MATCH(T$6,'ME raw'!$B$1:$B$17,0),MATCH($A24,'ME raw'!$B$1:$F$1,0)),0)</f>
        <v>0</v>
      </c>
      <c r="U24" s="1078">
        <f>IFERROR(INDEX('ME raw'!$B$1:$H$17,MATCH(U$6,'ME raw'!$B$1:$B$17,0),MATCH($A24,'ME raw'!$B$1:$F$1,0)),0)</f>
        <v>0</v>
      </c>
      <c r="V24" s="1078">
        <f>IFERROR(INDEX('ME raw'!$B$1:$H$17,MATCH(V$6,'ME raw'!$B$1:$B$17,0),MATCH($A24,'ME raw'!$B$1:$F$1,0)),0)</f>
        <v>0</v>
      </c>
      <c r="W24" s="1078">
        <f>IFERROR(INDEX('ME raw'!$B$1:$H$17,MATCH(W$6,'ME raw'!$B$1:$B$17,0),MATCH($A24,'ME raw'!$B$1:$F$1,0)),0)</f>
        <v>0</v>
      </c>
      <c r="X24" s="1078">
        <f>(SUMIFS('CT CLP raw'!$10:$10,'CT CLP raw'!$1:$1,$A24))*1000</f>
        <v>0</v>
      </c>
      <c r="Y24" s="1078">
        <f>(SUMIFS('CT CLP raw'!$11:$11,'CT CLP raw'!$1:$1,$A24))*1000</f>
        <v>0</v>
      </c>
      <c r="Z24" s="1078">
        <f>(SUMIFS('CT CLP raw'!$12:$12,'CT CLP raw'!$1:$1,$A24))*1000</f>
        <v>0</v>
      </c>
      <c r="AA24" s="1078">
        <f>(SUMIFS('CT CLP raw'!$13:$13,'CT CLP raw'!$1:$1,$A24))*1000</f>
        <v>0</v>
      </c>
      <c r="AB24" s="1078">
        <f>(SUMIFS('CT CLP raw'!$14:$14,'CT CLP raw'!$1:$1,$A24))*1000</f>
        <v>0</v>
      </c>
      <c r="AC24" s="1078">
        <f>(SUMIFS('CT CLP raw'!$18:$18,'CT CLP raw'!$1:$1,$A24))*1000</f>
        <v>0</v>
      </c>
      <c r="AD24" s="1078">
        <f>(SUMIFS('CT CLP raw'!$19:$19,'CT CLP raw'!$1:$1,$A24))*1000</f>
        <v>0</v>
      </c>
      <c r="AE24" s="1078">
        <f>SUMIFS('CT UI raw'!$10:$10,'CT UI raw'!$1:$1,$A24)</f>
        <v>0</v>
      </c>
      <c r="AF24" s="1078">
        <f>SUMIFS('CT UI raw'!$12:$12,'CT UI raw'!$1:$1,$A24)</f>
        <v>0</v>
      </c>
      <c r="AG24" s="1078">
        <f>SUMIFS('CT UI raw'!$13:$13,'CT UI raw'!$1:$1,$A24)</f>
        <v>0</v>
      </c>
      <c r="AH24" s="1078">
        <f>SUMIFS('CT UI raw'!$14:$14,'CT UI raw'!$1:$1,$A24)</f>
        <v>0</v>
      </c>
      <c r="AI24" s="1078">
        <f>SUMIFS('CT UI raw'!$18:$18,'CT UI raw'!$1:$1,$A24)</f>
        <v>0</v>
      </c>
      <c r="AJ24" s="1078">
        <f>SUMIFS('CT UI raw'!$22:$22,'CT UI raw'!$1:$1,$A24)</f>
        <v>0</v>
      </c>
      <c r="AK24" s="1078">
        <f>SUMIFS('CT UI raw'!$24:$24,'CT UI raw'!$1:$1,$A24)</f>
        <v>0</v>
      </c>
      <c r="AL24" s="1078">
        <f ca="1">SUMIFS(OFFSET('MA raw'!$B$8:$I$8,MATCH('State Programs Summary'!AL$6,'MA raw'!$B$9:$B$35,0),0),'MA raw'!$B$1:$I$1,'State Programs Summary'!$A24)</f>
        <v>312800</v>
      </c>
      <c r="AM24" s="1078">
        <f ca="1">SUMIFS(OFFSET('MA raw'!$B$8:$I$8,MATCH('State Programs Summary'!AM$6,'MA raw'!$B$9:$B$35,0),0),'MA raw'!$B$1:$I$1,'State Programs Summary'!$A24)</f>
        <v>221824</v>
      </c>
      <c r="AN24" s="1078">
        <f ca="1">SUMIFS(OFFSET('MA raw'!$B$8:$I$8,MATCH('State Programs Summary'!AN$6,'MA raw'!$B$9:$B$35,0),0),'MA raw'!$B$1:$I$1,'State Programs Summary'!$A24)</f>
        <v>663278</v>
      </c>
      <c r="AO24" s="1078">
        <f ca="1">SUMIFS(OFFSET('MA raw'!$B$8:$I$8,MATCH('State Programs Summary'!AO$6,'MA raw'!$B$9:$B$35,0),0),'MA raw'!$B$1:$I$1,'State Programs Summary'!$A24)</f>
        <v>3947928</v>
      </c>
      <c r="AP24" s="1078">
        <f ca="1">SUMIFS(OFFSET('MA raw'!$B$8:$I$8,MATCH('State Programs Summary'!AP$6,'MA raw'!$B$9:$B$35,0),0),'MA raw'!$B$1:$I$1,'State Programs Summary'!$A24)</f>
        <v>135100</v>
      </c>
      <c r="AQ24" s="1078">
        <f ca="1">SUMIFS(OFFSET('MA raw'!$B$8:$I$8,MATCH('State Programs Summary'!AQ$6,'MA raw'!$B$9:$B$35,0),0),'MA raw'!$B$1:$I$1,'State Programs Summary'!$A24)</f>
        <v>871741</v>
      </c>
      <c r="AR24" s="1078">
        <f ca="1">SUMIFS(OFFSET('MA raw'!$B$8:$I$8,MATCH('State Programs Summary'!AR$6,'MA raw'!$B$9:$B$35,0),0),'MA raw'!$B$1:$I$1,'State Programs Summary'!$A24)</f>
        <v>239860</v>
      </c>
      <c r="AS24" s="1078">
        <f ca="1">SUMIFS(OFFSET('MA raw'!$B$8:$I$8,MATCH('State Programs Summary'!AS$6,'MA raw'!$B$9:$B$35,0),0),'MA raw'!$B$1:$I$1,'State Programs Summary'!$A24)</f>
        <v>3120131</v>
      </c>
      <c r="AT24" s="1078">
        <f ca="1">SUMIFS(OFFSET('MA raw'!$B$8:$I$8,MATCH('State Programs Summary'!AT$6,'MA raw'!$B$9:$B$35,0),0),'MA raw'!$B$1:$I$1,'State Programs Summary'!$A24)</f>
        <v>76071</v>
      </c>
      <c r="AU24" s="1078">
        <f ca="1">SUMIFS(OFFSET('MA raw'!$B$8:$I$8,MATCH('State Programs Summary'!AU$6,'MA raw'!$B$9:$B$35,0),0),'MA raw'!$B$1:$I$1,'State Programs Summary'!$A24)</f>
        <v>6751273</v>
      </c>
      <c r="AV24" s="1078">
        <f ca="1">SUMIFS(OFFSET('MA raw'!$B$8:$I$8,MATCH('State Programs Summary'!AV$6,'MA raw'!$B$9:$B$35,0),0),'MA raw'!$B$1:$I$1,'State Programs Summary'!$A24)</f>
        <v>44568</v>
      </c>
      <c r="AW24" s="1078">
        <f ca="1">SUMIFS(OFFSET('MA raw'!$B$8:$I$8,MATCH('State Programs Summary'!AW$6,'MA raw'!$B$9:$B$35,0),0),'MA raw'!$B$1:$I$1,'State Programs Summary'!$A24)</f>
        <v>2438687</v>
      </c>
      <c r="AX24" s="1078">
        <f ca="1">SUMIFS(OFFSET('MA raw'!$B$8:$I$8,MATCH('State Programs Summary'!AX$6,'MA raw'!$B$9:$B$35,0),0),'MA raw'!$B$1:$I$1,'State Programs Summary'!$A24)</f>
        <v>127994</v>
      </c>
      <c r="AY24" s="1078">
        <f ca="1">SUMIFS(OFFSET('MA raw'!$B$8:$I$8,MATCH('State Programs Summary'!AY$6,'MA raw'!$B$9:$B$35,0),0),'MA raw'!$B$1:$I$1,'State Programs Summary'!$A24)</f>
        <v>80912</v>
      </c>
      <c r="AZ24" s="1078">
        <f ca="1">SUMIFS(OFFSET('MA raw'!$B$8:$I$8,MATCH('State Programs Summary'!AZ$6,'MA raw'!$B$9:$B$35,0),0),'MA raw'!$B$1:$I$1,'State Programs Summary'!$A24)</f>
        <v>1920615</v>
      </c>
      <c r="BA24" s="1078">
        <f>IF(BA$7=1,IFERROR(INDEX('RI raw'!$B$9:$J$22,MATCH('State Programs Summary'!BA$6,'RI raw'!$B$9:$B$22,0),MATCH('State Programs Summary'!$A24,'RI raw'!$B$1:$J$1,0)), 0)*1000,NA())</f>
        <v>113800</v>
      </c>
      <c r="BB24" s="1078">
        <f>IF(BB$7=1,IFERROR(INDEX('RI raw'!$B$9:$J$22,MATCH('State Programs Summary'!BB$6,'RI raw'!$B$9:$B$22,0),MATCH('State Programs Summary'!$A24,'RI raw'!$B$1:$J$1,0)), 0)*1000,NA())</f>
        <v>385800</v>
      </c>
      <c r="BC24" s="1078">
        <f>IF(BC$7=1,IFERROR(INDEX('RI raw'!$B$9:$J$22,MATCH('State Programs Summary'!BC$6,'RI raw'!$B$9:$B$22,0),MATCH('State Programs Summary'!$A24,'RI raw'!$B$1:$J$1,0)), 0)*1000,NA())</f>
        <v>64400.000000000007</v>
      </c>
      <c r="BD24" s="1078" t="e">
        <f>IF(BD$7=1,IFERROR(INDEX('RI raw'!$B$9:$J$22,MATCH('State Programs Summary'!BD$6,'RI raw'!$B$9:$B$22,0),MATCH('State Programs Summary'!$A24,'RI raw'!$B$1:$J$1,0)), 0)*1000,NA())</f>
        <v>#N/A</v>
      </c>
      <c r="BE24" s="1078">
        <f>IF(BE$7=1,IFERROR(INDEX('RI raw'!$B$9:$J$22,MATCH('State Programs Summary'!BE$6,'RI raw'!$B$9:$B$22,0),MATCH('State Programs Summary'!$A24,'RI raw'!$B$1:$J$1,0)), 0)*1000,NA())</f>
        <v>378300</v>
      </c>
      <c r="BF24" s="1078">
        <f>IF(BF$7=1,IFERROR(INDEX('RI raw'!$B$9:$J$22,MATCH('State Programs Summary'!BF$6,'RI raw'!$B$9:$B$22,0),MATCH('State Programs Summary'!$A24,'RI raw'!$B$1:$J$1,0)), 0)*1000,NA())</f>
        <v>60000</v>
      </c>
      <c r="BG24" s="1078">
        <f>IF(BG$7=1,IFERROR(INDEX('RI raw'!$B$9:$J$22,MATCH('State Programs Summary'!BG$6,'RI raw'!$B$9:$B$22,0),MATCH('State Programs Summary'!$A24,'RI raw'!$B$1:$J$1,0)), 0)*1000,NA())</f>
        <v>86400</v>
      </c>
      <c r="BH24" s="1078">
        <f>IF(BH$7=1,IFERROR(INDEX('RI raw'!$B$9:$J$22,MATCH('State Programs Summary'!BH$6,'RI raw'!$B$9:$B$22,0),MATCH('State Programs Summary'!$A24,'RI raw'!$B$1:$J$1,0)), 0)*1000,NA())</f>
        <v>71400</v>
      </c>
      <c r="BI24" s="1078">
        <f>IF(BI$7=1,IFERROR(INDEX('RI raw'!$B$9:$J$22,MATCH('State Programs Summary'!BI$6,'RI raw'!$B$9:$B$22,0),MATCH('State Programs Summary'!$A24,'RI raw'!$B$1:$J$1,0)), 0)*1000,NA())</f>
        <v>71400</v>
      </c>
    </row>
    <row r="25" spans="1:61">
      <c r="A25" s="819"/>
      <c r="B25" s="820"/>
      <c r="C25" s="813"/>
      <c r="D25" s="765"/>
      <c r="E25" s="1066"/>
      <c r="F25" s="1067"/>
      <c r="G25" s="1078"/>
      <c r="H25" s="1078"/>
      <c r="I25" s="1078"/>
      <c r="J25" s="1078"/>
      <c r="K25" s="1078"/>
      <c r="L25" s="1078"/>
      <c r="M25" s="1078"/>
      <c r="N25" s="1078"/>
      <c r="O25" s="1078"/>
      <c r="P25" s="1078"/>
      <c r="Q25" s="1078"/>
      <c r="R25" s="1078"/>
      <c r="S25" s="1078"/>
      <c r="T25" s="1078"/>
      <c r="U25" s="1078"/>
      <c r="V25" s="1078"/>
      <c r="W25" s="1078"/>
      <c r="X25" s="1078"/>
      <c r="Y25" s="1078"/>
      <c r="Z25" s="1078"/>
      <c r="AA25" s="1078"/>
      <c r="AB25" s="1078"/>
      <c r="AC25" s="1078"/>
      <c r="AD25" s="1078"/>
      <c r="AE25" s="1078"/>
      <c r="AF25" s="1078"/>
      <c r="AG25" s="1078"/>
      <c r="AH25" s="1078"/>
      <c r="AI25" s="1078"/>
      <c r="AJ25" s="1078"/>
      <c r="AK25" s="1078"/>
      <c r="AL25" s="1078"/>
      <c r="AM25" s="1078"/>
      <c r="AN25" s="1078"/>
      <c r="AO25" s="1078"/>
      <c r="AP25" s="1078"/>
      <c r="AQ25" s="1078"/>
      <c r="AR25" s="1078"/>
      <c r="AS25" s="1078"/>
      <c r="AT25" s="1078"/>
      <c r="AU25" s="1078"/>
      <c r="AV25" s="1078"/>
      <c r="AW25" s="1078"/>
      <c r="AX25" s="1078"/>
      <c r="AY25" s="1078"/>
      <c r="AZ25" s="1078"/>
      <c r="BA25" s="1078"/>
      <c r="BB25" s="1069"/>
      <c r="BC25" s="1069"/>
      <c r="BD25" s="1069"/>
      <c r="BE25" s="1069"/>
      <c r="BF25" s="1069"/>
      <c r="BG25" s="1069"/>
      <c r="BH25" s="1069"/>
      <c r="BI25" s="1069"/>
    </row>
    <row r="26" spans="1:61">
      <c r="C26" s="811" t="s">
        <v>542</v>
      </c>
      <c r="D26" s="765" t="s">
        <v>405</v>
      </c>
      <c r="E26" s="1066">
        <f ca="1">SUMIFS('State Programs Summary'!$G$26:$BI$26,'State Programs Summary'!$G$7:$BI$7,1)</f>
        <v>960147114</v>
      </c>
      <c r="F26" s="1066"/>
      <c r="G26" s="1079">
        <f>SUM(G19:G24)</f>
        <v>3886782</v>
      </c>
      <c r="H26" s="1079">
        <f>SUM(H19:H24)</f>
        <v>8365061</v>
      </c>
      <c r="I26" s="1079">
        <f>SUM(I19:I24)</f>
        <v>5987023</v>
      </c>
      <c r="J26" s="1079">
        <f>SUM(J19:J24)</f>
        <v>9014303</v>
      </c>
      <c r="K26" s="1079">
        <f>SUM(K19:K24)</f>
        <v>28130567</v>
      </c>
      <c r="L26" s="1079">
        <f t="shared" ref="L26:S26" si="3">SUM(L19:L24)</f>
        <v>1639676</v>
      </c>
      <c r="M26" s="1079">
        <f t="shared" si="3"/>
        <v>2253481</v>
      </c>
      <c r="N26" s="1079">
        <f t="shared" si="3"/>
        <v>2241578</v>
      </c>
      <c r="O26" s="1079">
        <f t="shared" si="3"/>
        <v>4820025</v>
      </c>
      <c r="P26" s="1079">
        <f t="shared" si="3"/>
        <v>1510649</v>
      </c>
      <c r="Q26" s="1079">
        <f t="shared" si="3"/>
        <v>3690995</v>
      </c>
      <c r="R26" s="1079">
        <f t="shared" si="3"/>
        <v>8110417</v>
      </c>
      <c r="S26" s="1079">
        <f t="shared" si="3"/>
        <v>6228354</v>
      </c>
      <c r="T26" s="1079">
        <f>SUM(T19:T24)</f>
        <v>35230524</v>
      </c>
      <c r="U26" s="1079">
        <f>SUM(U19:U24)</f>
        <v>4421909</v>
      </c>
      <c r="V26" s="1079">
        <f>SUM(V19:V24)</f>
        <v>2982607</v>
      </c>
      <c r="W26" s="1079">
        <f t="shared" ref="W26:AG26" si="4">SUM(W19:W24)</f>
        <v>13211165</v>
      </c>
      <c r="X26" s="1079">
        <f t="shared" si="4"/>
        <v>7953000</v>
      </c>
      <c r="Y26" s="1079">
        <f t="shared" si="4"/>
        <v>2010000</v>
      </c>
      <c r="Z26" s="1079">
        <f t="shared" si="4"/>
        <v>15395000</v>
      </c>
      <c r="AA26" s="1079">
        <f t="shared" si="4"/>
        <v>10380000</v>
      </c>
      <c r="AB26" s="1079">
        <f t="shared" si="4"/>
        <v>8826000</v>
      </c>
      <c r="AC26" s="1079">
        <f t="shared" si="4"/>
        <v>38958000</v>
      </c>
      <c r="AD26" s="1079">
        <f t="shared" si="4"/>
        <v>23537000</v>
      </c>
      <c r="AE26" s="1079">
        <f t="shared" si="4"/>
        <v>2713993</v>
      </c>
      <c r="AF26" s="1079">
        <f t="shared" si="4"/>
        <v>331400</v>
      </c>
      <c r="AG26" s="1079">
        <f t="shared" si="4"/>
        <v>2629956</v>
      </c>
      <c r="AH26" s="1079">
        <f>SUM(AH19:AH24)</f>
        <v>2759559</v>
      </c>
      <c r="AI26" s="1079">
        <f>SUM(AI19:AI24)</f>
        <v>3076996</v>
      </c>
      <c r="AJ26" s="1079">
        <f>SUM(AJ19:AJ24)</f>
        <v>9163290</v>
      </c>
      <c r="AK26" s="1079">
        <f>SUM(AK19:AK24)</f>
        <v>7636168</v>
      </c>
      <c r="AL26" s="1079">
        <f t="shared" ref="AL26:AZ26" ca="1" si="5">SUM(AL19:AL24)</f>
        <v>11133173</v>
      </c>
      <c r="AM26" s="1079">
        <f t="shared" ca="1" si="5"/>
        <v>8039221</v>
      </c>
      <c r="AN26" s="1079">
        <f t="shared" ca="1" si="5"/>
        <v>21648567</v>
      </c>
      <c r="AO26" s="1079">
        <f t="shared" ca="1" si="5"/>
        <v>71537048</v>
      </c>
      <c r="AP26" s="1079">
        <f t="shared" ca="1" si="5"/>
        <v>2648250</v>
      </c>
      <c r="AQ26" s="1079">
        <f t="shared" ca="1" si="5"/>
        <v>24799855</v>
      </c>
      <c r="AR26" s="1079">
        <f t="shared" ca="1" si="5"/>
        <v>9384856</v>
      </c>
      <c r="AS26" s="1079">
        <f t="shared" ca="1" si="5"/>
        <v>87870953</v>
      </c>
      <c r="AT26" s="1079">
        <f t="shared" ca="1" si="5"/>
        <v>1043539</v>
      </c>
      <c r="AU26" s="1079">
        <f t="shared" ca="1" si="5"/>
        <v>295991261</v>
      </c>
      <c r="AV26" s="1079">
        <f t="shared" ca="1" si="5"/>
        <v>985989</v>
      </c>
      <c r="AW26" s="1079">
        <f t="shared" ca="1" si="5"/>
        <v>97149104</v>
      </c>
      <c r="AX26" s="1079">
        <f t="shared" ca="1" si="5"/>
        <v>8904304</v>
      </c>
      <c r="AY26" s="1079">
        <f t="shared" ca="1" si="5"/>
        <v>1809547</v>
      </c>
      <c r="AZ26" s="1079">
        <f t="shared" ca="1" si="5"/>
        <v>57143517</v>
      </c>
      <c r="BA26" s="1079">
        <f>INDEX('RI raw'!$B$9:$J$22,MATCH('State Programs Summary'!BA$6,'RI raw'!$B$9:$B$22,0),MATCH('RI raw'!$I$9,'RI raw'!$B$9:$J$9,0))*1000</f>
        <v>6940800</v>
      </c>
      <c r="BB26" s="1079">
        <f>INDEX('RI raw'!$B$9:$J$22,MATCH('State Programs Summary'!BB$6,'RI raw'!$B$9:$B$22,0),MATCH('RI raw'!$I$9,'RI raw'!$B$9:$J$9,0))*1000</f>
        <v>18448800</v>
      </c>
      <c r="BC26" s="1079">
        <f>INDEX('RI raw'!$B$9:$J$22,MATCH('State Programs Summary'!BC$6,'RI raw'!$B$9:$B$22,0),MATCH('RI raw'!$I$9,'RI raw'!$B$9:$J$9,0))*1000</f>
        <v>14239800</v>
      </c>
      <c r="BD26" s="1079">
        <f>INDEX('RI raw'!$B$9:$J$22,MATCH('State Programs Summary'!BD$6,'RI raw'!$B$9:$B$22,0),MATCH('RI raw'!$I$9,'RI raw'!$B$9:$J$9,0))*1000</f>
        <v>5862500</v>
      </c>
      <c r="BE26" s="1079">
        <f>INDEX('RI raw'!$B$9:$J$22,MATCH('State Programs Summary'!BE$6,'RI raw'!$B$9:$B$22,0),MATCH('RI raw'!$I$9,'RI raw'!$B$9:$J$9,0))*1000</f>
        <v>1792600</v>
      </c>
      <c r="BF26" s="1079">
        <f>INDEX('RI raw'!$B$9:$J$22,MATCH('State Programs Summary'!BF$6,'RI raw'!$B$9:$B$22,0),MATCH('RI raw'!$I$9,'RI raw'!$B$9:$J$9,0))*1000</f>
        <v>3206000</v>
      </c>
      <c r="BG26" s="1079">
        <f>INDEX('RI raw'!$B$9:$J$22,MATCH('State Programs Summary'!BG$6,'RI raw'!$B$9:$B$22,0),MATCH('RI raw'!$I$9,'RI raw'!$B$9:$J$9,0))*1000</f>
        <v>8551500</v>
      </c>
      <c r="BH26" s="1079">
        <f>INDEX('RI raw'!$B$9:$J$22,MATCH('State Programs Summary'!BH$6,'RI raw'!$B$9:$B$22,0),MATCH('RI raw'!$I$9,'RI raw'!$B$9:$J$9,0))*1000</f>
        <v>4578799.9999999991</v>
      </c>
      <c r="BI26" s="1079">
        <f>INDEX('RI raw'!$B$9:$J$22,MATCH('State Programs Summary'!BI$6,'RI raw'!$B$9:$B$22,0),MATCH('RI raw'!$I$9,'RI raw'!$B$9:$J$9,0))*1000</f>
        <v>2116800</v>
      </c>
    </row>
    <row r="27" spans="1:61">
      <c r="C27" s="813" t="s">
        <v>543</v>
      </c>
      <c r="D27" s="765" t="s">
        <v>834</v>
      </c>
      <c r="E27" s="1080">
        <f ca="1">E26/(E16*10^3)</f>
        <v>2249.665355471926</v>
      </c>
      <c r="F27" s="821"/>
      <c r="G27" s="822"/>
      <c r="H27" s="822"/>
      <c r="I27" s="822"/>
      <c r="J27" s="822"/>
      <c r="K27" s="822"/>
      <c r="L27" s="822"/>
      <c r="M27" s="822"/>
      <c r="N27" s="822"/>
      <c r="O27" s="822"/>
      <c r="P27" s="822"/>
      <c r="Q27" s="822"/>
      <c r="R27" s="822"/>
      <c r="S27" s="822"/>
      <c r="T27" s="822"/>
      <c r="U27" s="822"/>
      <c r="V27" s="822"/>
      <c r="W27" s="822"/>
      <c r="X27" s="822"/>
      <c r="Y27" s="822"/>
      <c r="Z27" s="822"/>
      <c r="AA27" s="822"/>
      <c r="AB27" s="822"/>
      <c r="AC27" s="822"/>
      <c r="AD27" s="822"/>
      <c r="AE27" s="822"/>
      <c r="AF27" s="822"/>
      <c r="AG27" s="822"/>
      <c r="AH27" s="822"/>
      <c r="AI27" s="822"/>
      <c r="AJ27" s="822"/>
      <c r="AK27" s="822"/>
      <c r="AL27" s="822"/>
      <c r="AM27" s="822"/>
      <c r="AN27" s="822"/>
      <c r="AO27" s="822"/>
      <c r="AP27" s="822"/>
      <c r="AQ27" s="822"/>
      <c r="AR27" s="822"/>
      <c r="AS27" s="822"/>
      <c r="AT27" s="822"/>
      <c r="AU27" s="822"/>
      <c r="AV27" s="822"/>
      <c r="AW27" s="822"/>
      <c r="AX27" s="822"/>
      <c r="AY27" s="822"/>
      <c r="AZ27" s="822"/>
    </row>
    <row r="28" spans="1:61">
      <c r="C28" s="813" t="s">
        <v>544</v>
      </c>
      <c r="D28" s="765" t="s">
        <v>835</v>
      </c>
      <c r="E28" s="1080">
        <f ca="1">E27*(1+'CONE Calcs'!Inflation)^(2018-2012)</f>
        <v>2570.9748032400275</v>
      </c>
      <c r="F28" s="821"/>
      <c r="G28" s="822"/>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22"/>
      <c r="AY28" s="822"/>
      <c r="AZ28" s="822"/>
    </row>
    <row r="29" spans="1:61">
      <c r="C29" s="813" t="s">
        <v>545</v>
      </c>
      <c r="D29" s="765" t="s">
        <v>384</v>
      </c>
      <c r="E29" s="1080">
        <f>ROUND(E10/E11,0)</f>
        <v>11</v>
      </c>
      <c r="F29" s="821"/>
      <c r="G29" s="823"/>
      <c r="H29" s="823"/>
      <c r="I29" s="823"/>
      <c r="J29" s="823"/>
      <c r="K29" s="823"/>
      <c r="L29" s="823"/>
      <c r="M29" s="823"/>
      <c r="N29" s="823"/>
      <c r="O29" s="823"/>
      <c r="P29" s="823"/>
      <c r="Q29" s="823"/>
      <c r="R29" s="823"/>
      <c r="S29" s="823"/>
      <c r="T29" s="823"/>
      <c r="U29" s="823"/>
      <c r="V29" s="823"/>
      <c r="W29" s="823"/>
      <c r="X29" s="823"/>
      <c r="Y29" s="823"/>
      <c r="Z29" s="823"/>
      <c r="AA29" s="823"/>
      <c r="AB29" s="823"/>
      <c r="AC29" s="823"/>
      <c r="AD29" s="823"/>
      <c r="AE29" s="823"/>
      <c r="AF29" s="823"/>
      <c r="AG29" s="823"/>
      <c r="AH29" s="823"/>
      <c r="AI29" s="823"/>
      <c r="AJ29" s="823"/>
      <c r="AK29" s="823"/>
      <c r="AL29" s="823"/>
      <c r="AM29" s="823"/>
      <c r="AN29" s="823"/>
      <c r="AO29" s="823"/>
      <c r="AP29" s="823"/>
      <c r="AQ29" s="823"/>
      <c r="AR29" s="823"/>
      <c r="AS29" s="823"/>
      <c r="AT29" s="823"/>
      <c r="AU29" s="823"/>
      <c r="AV29" s="823"/>
      <c r="AW29" s="823"/>
      <c r="AX29" s="823"/>
      <c r="AY29" s="823"/>
      <c r="AZ29" s="823"/>
    </row>
    <row r="30" spans="1:61">
      <c r="G30" s="823"/>
      <c r="H30" s="823"/>
      <c r="I30" s="823"/>
      <c r="J30" s="823"/>
      <c r="K30" s="823"/>
      <c r="L30" s="823"/>
      <c r="M30" s="823"/>
      <c r="N30" s="823"/>
      <c r="O30" s="823"/>
      <c r="P30" s="823"/>
      <c r="Q30" s="823"/>
      <c r="R30" s="823"/>
      <c r="S30" s="823"/>
      <c r="T30" s="823"/>
      <c r="U30" s="823"/>
      <c r="V30" s="823"/>
      <c r="W30" s="823"/>
      <c r="X30" s="823"/>
      <c r="Y30" s="823"/>
      <c r="Z30" s="823"/>
      <c r="AA30" s="823"/>
      <c r="AB30" s="823"/>
      <c r="AC30" s="823"/>
      <c r="AD30" s="823"/>
      <c r="AE30" s="823"/>
      <c r="AF30" s="823"/>
      <c r="AG30" s="823"/>
      <c r="AH30" s="823"/>
      <c r="AI30" s="823"/>
      <c r="AJ30" s="823"/>
      <c r="AK30" s="823"/>
      <c r="AL30" s="823"/>
      <c r="AM30" s="823"/>
      <c r="AN30" s="823"/>
      <c r="AO30" s="823"/>
      <c r="AP30" s="823"/>
      <c r="AQ30" s="823"/>
      <c r="AR30" s="823"/>
      <c r="AS30" s="823"/>
      <c r="AT30" s="823"/>
      <c r="AU30" s="823"/>
      <c r="AV30" s="823"/>
      <c r="AW30" s="823"/>
      <c r="AX30" s="823"/>
      <c r="AY30" s="823"/>
      <c r="AZ30" s="823"/>
    </row>
  </sheetData>
  <mergeCells count="7">
    <mergeCell ref="BA5:BI5"/>
    <mergeCell ref="G5:K5"/>
    <mergeCell ref="L5:S5"/>
    <mergeCell ref="T5:W5"/>
    <mergeCell ref="X5:AD5"/>
    <mergeCell ref="AE5:AK5"/>
    <mergeCell ref="AL5:AZ5"/>
  </mergeCells>
  <conditionalFormatting sqref="G30:AZ30">
    <cfRule type="expression" dxfId="4" priority="5">
      <formula>G$30&lt;0</formula>
    </cfRule>
  </conditionalFormatting>
  <conditionalFormatting sqref="G7:AU7 AW7 AY7:AZ7">
    <cfRule type="cellIs" dxfId="3" priority="4" operator="equal">
      <formula>1</formula>
    </cfRule>
  </conditionalFormatting>
  <conditionalFormatting sqref="BA7:BI7">
    <cfRule type="cellIs" dxfId="2" priority="3" operator="equal">
      <formula>1</formula>
    </cfRule>
  </conditionalFormatting>
  <conditionalFormatting sqref="AV7">
    <cfRule type="cellIs" dxfId="1" priority="2" operator="equal">
      <formula>1</formula>
    </cfRule>
  </conditionalFormatting>
  <conditionalFormatting sqref="AX7">
    <cfRule type="cellIs" dxfId="0" priority="1" operator="equal">
      <formula>1</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tabColor theme="3"/>
  </sheetPr>
  <dimension ref="A1"/>
  <sheetViews>
    <sheetView topLeftCell="A3" workbookViewId="0">
      <selection activeCell="G42" sqref="G42"/>
    </sheetView>
  </sheetViews>
  <sheetFormatPr defaultRowHeight="12.75"/>
  <sheetData/>
  <pageMargins left="0.7" right="0.7" top="0.75" bottom="0.75" header="0.3" footer="0.3"/>
</worksheet>
</file>

<file path=xl/worksheets/sheet30.xml><?xml version="1.0" encoding="utf-8"?>
<worksheet xmlns="http://schemas.openxmlformats.org/spreadsheetml/2006/main" xmlns:r="http://schemas.openxmlformats.org/officeDocument/2006/relationships">
  <sheetPr>
    <tabColor theme="2" tint="-0.499984740745262"/>
  </sheetPr>
  <dimension ref="A1:M57"/>
  <sheetViews>
    <sheetView topLeftCell="A2" zoomScaleNormal="100" workbookViewId="0">
      <selection activeCell="B3" sqref="B3"/>
    </sheetView>
  </sheetViews>
  <sheetFormatPr defaultRowHeight="12.75" outlineLevelRow="1"/>
  <cols>
    <col min="1" max="1" width="9.85546875" style="829" bestFit="1" customWidth="1"/>
    <col min="2" max="2" width="34.28515625" style="829" customWidth="1"/>
    <col min="3" max="3" width="15.28515625" style="829" bestFit="1" customWidth="1"/>
    <col min="4" max="4" width="14.28515625" style="829" bestFit="1" customWidth="1"/>
    <col min="5" max="5" width="16.28515625" style="829" bestFit="1" customWidth="1"/>
    <col min="6" max="8" width="15.28515625" style="829" bestFit="1" customWidth="1"/>
    <col min="9" max="9" width="16.28515625" style="829" bestFit="1" customWidth="1"/>
    <col min="10" max="10" width="10" style="829" customWidth="1"/>
    <col min="11" max="11" width="11.42578125" style="829" customWidth="1"/>
    <col min="12" max="12" width="12.5703125" style="829" bestFit="1" customWidth="1"/>
    <col min="13" max="13" width="16.28515625" style="829" customWidth="1"/>
    <col min="14" max="16384" width="9.140625" style="829"/>
  </cols>
  <sheetData>
    <row r="1" spans="1:13" s="824" customFormat="1" hidden="1" outlineLevel="1">
      <c r="B1" s="825"/>
      <c r="C1" s="825">
        <v>4</v>
      </c>
      <c r="D1" s="825">
        <v>4</v>
      </c>
      <c r="E1" s="825">
        <v>3</v>
      </c>
      <c r="F1" s="825">
        <v>1</v>
      </c>
      <c r="G1" s="825">
        <v>6</v>
      </c>
      <c r="H1" s="825">
        <v>3</v>
      </c>
      <c r="I1" s="825">
        <v>5</v>
      </c>
      <c r="J1" s="825"/>
      <c r="K1" s="825"/>
      <c r="L1" s="825"/>
      <c r="M1" s="825"/>
    </row>
    <row r="2" spans="1:13" collapsed="1">
      <c r="A2" s="826" t="s">
        <v>91</v>
      </c>
      <c r="B2" s="126" t="str">
        <f>'ORTP Summary'!C1</f>
        <v>ISO-NE ORTP 2013 Study</v>
      </c>
      <c r="C2" s="827"/>
      <c r="D2" s="827"/>
      <c r="E2" s="827"/>
      <c r="F2" s="827"/>
      <c r="G2" s="827"/>
      <c r="H2" s="827"/>
      <c r="I2" s="827"/>
      <c r="J2" s="828"/>
      <c r="K2" s="828"/>
      <c r="L2" s="828"/>
      <c r="M2" s="828"/>
    </row>
    <row r="3" spans="1:13">
      <c r="A3" s="826" t="s">
        <v>92</v>
      </c>
      <c r="B3" s="830" t="s">
        <v>113</v>
      </c>
      <c r="C3" s="827"/>
      <c r="D3" s="827"/>
      <c r="E3" s="827"/>
      <c r="F3" s="827"/>
      <c r="G3" s="827"/>
      <c r="H3" s="827"/>
      <c r="I3" s="827"/>
      <c r="J3" s="828"/>
      <c r="K3" s="828"/>
      <c r="L3" s="828"/>
      <c r="M3" s="828"/>
    </row>
    <row r="4" spans="1:13">
      <c r="A4" s="826" t="s">
        <v>114</v>
      </c>
      <c r="B4" s="831" t="s">
        <v>546</v>
      </c>
      <c r="C4" s="827"/>
      <c r="D4" s="827"/>
      <c r="E4" s="827"/>
      <c r="F4" s="827"/>
      <c r="G4" s="827"/>
      <c r="H4" s="827"/>
      <c r="I4" s="827"/>
      <c r="J4" s="828"/>
      <c r="K4" s="828"/>
      <c r="L4" s="828"/>
      <c r="M4" s="828"/>
    </row>
    <row r="5" spans="1:13">
      <c r="A5" s="832" t="s">
        <v>547</v>
      </c>
      <c r="B5" s="833" t="s">
        <v>548</v>
      </c>
      <c r="C5" s="827"/>
      <c r="D5" s="827"/>
      <c r="E5" s="827"/>
      <c r="F5" s="827"/>
      <c r="G5" s="827"/>
      <c r="H5" s="827"/>
      <c r="I5" s="827"/>
      <c r="J5" s="828"/>
      <c r="K5" s="828"/>
      <c r="L5" s="828"/>
      <c r="M5" s="828"/>
    </row>
    <row r="6" spans="1:13">
      <c r="A6" s="832"/>
      <c r="B6" s="833"/>
      <c r="C6" s="827"/>
      <c r="D6" s="827"/>
      <c r="E6" s="827"/>
      <c r="F6" s="827"/>
      <c r="G6" s="827"/>
      <c r="H6" s="827"/>
      <c r="I6" s="827"/>
      <c r="J6" s="828"/>
      <c r="K6" s="828"/>
      <c r="L6" s="828"/>
      <c r="M6" s="828"/>
    </row>
    <row r="7" spans="1:13">
      <c r="B7" s="1361" t="s">
        <v>549</v>
      </c>
      <c r="C7" s="1361"/>
      <c r="D7" s="1361"/>
      <c r="E7" s="1361"/>
      <c r="F7" s="1361"/>
      <c r="G7" s="1361"/>
      <c r="H7" s="1361"/>
      <c r="I7" s="1361"/>
      <c r="J7" s="1361"/>
      <c r="K7" s="1361"/>
      <c r="L7" s="1361"/>
      <c r="M7" s="828"/>
    </row>
    <row r="8" spans="1:13" ht="38.25">
      <c r="B8" s="834" t="s">
        <v>550</v>
      </c>
      <c r="C8" s="835" t="s">
        <v>551</v>
      </c>
      <c r="D8" s="835" t="s">
        <v>552</v>
      </c>
      <c r="E8" s="835" t="s">
        <v>553</v>
      </c>
      <c r="F8" s="835" t="s">
        <v>554</v>
      </c>
      <c r="G8" s="835" t="s">
        <v>555</v>
      </c>
      <c r="H8" s="835" t="s">
        <v>556</v>
      </c>
      <c r="I8" s="835" t="s">
        <v>557</v>
      </c>
      <c r="J8" s="836" t="s">
        <v>558</v>
      </c>
      <c r="K8" s="836" t="s">
        <v>559</v>
      </c>
      <c r="L8" s="836" t="s">
        <v>560</v>
      </c>
      <c r="M8" s="835"/>
    </row>
    <row r="9" spans="1:13" ht="25.5">
      <c r="B9" s="837" t="s">
        <v>519</v>
      </c>
      <c r="C9" s="838">
        <v>471460</v>
      </c>
      <c r="D9" s="838">
        <v>455636</v>
      </c>
      <c r="E9" s="838">
        <v>2264259</v>
      </c>
      <c r="F9" s="838">
        <v>853222</v>
      </c>
      <c r="G9" s="838">
        <v>312800</v>
      </c>
      <c r="H9" s="838">
        <v>225872</v>
      </c>
      <c r="I9" s="838">
        <v>6549924</v>
      </c>
      <c r="J9" s="833">
        <v>878</v>
      </c>
      <c r="K9" s="833">
        <v>3814</v>
      </c>
      <c r="L9" s="833">
        <v>47189</v>
      </c>
      <c r="M9" s="838"/>
    </row>
    <row r="10" spans="1:13">
      <c r="B10" s="837" t="s">
        <v>520</v>
      </c>
      <c r="C10" s="838">
        <v>630816</v>
      </c>
      <c r="D10" s="838">
        <v>606376</v>
      </c>
      <c r="E10" s="838">
        <v>5201723</v>
      </c>
      <c r="F10" s="838">
        <v>1089293</v>
      </c>
      <c r="G10" s="838">
        <v>221824</v>
      </c>
      <c r="H10" s="838">
        <v>246194</v>
      </c>
      <c r="I10" s="838">
        <v>42995</v>
      </c>
      <c r="J10" s="833">
        <v>1114</v>
      </c>
      <c r="K10" s="833">
        <v>3788</v>
      </c>
      <c r="L10" s="833">
        <v>62973</v>
      </c>
      <c r="M10" s="838"/>
    </row>
    <row r="11" spans="1:13">
      <c r="B11" s="839" t="s">
        <v>521</v>
      </c>
      <c r="C11" s="838">
        <v>874987</v>
      </c>
      <c r="D11" s="838">
        <v>525744</v>
      </c>
      <c r="E11" s="838">
        <v>12462900</v>
      </c>
      <c r="F11" s="838">
        <v>3273412</v>
      </c>
      <c r="G11" s="838">
        <v>663278</v>
      </c>
      <c r="H11" s="838">
        <v>3529042</v>
      </c>
      <c r="I11" s="838">
        <v>319204</v>
      </c>
      <c r="J11" s="833">
        <v>3942</v>
      </c>
      <c r="K11" s="833">
        <v>23488</v>
      </c>
      <c r="L11" s="833">
        <v>326349</v>
      </c>
      <c r="M11" s="838"/>
    </row>
    <row r="12" spans="1:13">
      <c r="B12" s="839" t="s">
        <v>481</v>
      </c>
      <c r="C12" s="838">
        <v>2222681</v>
      </c>
      <c r="D12" s="838">
        <v>2325313</v>
      </c>
      <c r="E12" s="838">
        <v>36045501</v>
      </c>
      <c r="F12" s="838">
        <v>12681621</v>
      </c>
      <c r="G12" s="838">
        <v>3947928</v>
      </c>
      <c r="H12" s="838">
        <v>1819703</v>
      </c>
      <c r="I12" s="838">
        <v>12494301</v>
      </c>
      <c r="J12" s="833">
        <v>11107</v>
      </c>
      <c r="K12" s="833">
        <v>45801</v>
      </c>
      <c r="L12" s="833">
        <v>461131</v>
      </c>
      <c r="M12" s="838"/>
    </row>
    <row r="13" spans="1:13">
      <c r="B13" s="839" t="s">
        <v>486</v>
      </c>
      <c r="C13" s="838">
        <v>99927</v>
      </c>
      <c r="D13" s="838">
        <v>0</v>
      </c>
      <c r="E13" s="838">
        <v>2253500</v>
      </c>
      <c r="F13" s="838">
        <v>20000</v>
      </c>
      <c r="G13" s="838">
        <v>135100</v>
      </c>
      <c r="H13" s="838">
        <v>139723</v>
      </c>
      <c r="I13" s="838">
        <v>0</v>
      </c>
      <c r="J13" s="833">
        <v>18630</v>
      </c>
      <c r="K13" s="833">
        <v>74520</v>
      </c>
      <c r="L13" s="833">
        <v>74520</v>
      </c>
      <c r="M13" s="838"/>
    </row>
    <row r="14" spans="1:13">
      <c r="B14" s="837" t="s">
        <v>460</v>
      </c>
      <c r="C14" s="838">
        <v>1084081</v>
      </c>
      <c r="D14" s="838">
        <v>2172306</v>
      </c>
      <c r="E14" s="838">
        <v>14603489</v>
      </c>
      <c r="F14" s="838">
        <v>2241575</v>
      </c>
      <c r="G14" s="838">
        <v>871741</v>
      </c>
      <c r="H14" s="838">
        <v>998506</v>
      </c>
      <c r="I14" s="838">
        <v>2828157</v>
      </c>
      <c r="J14" s="833">
        <v>16103</v>
      </c>
      <c r="K14" s="833">
        <v>90775</v>
      </c>
      <c r="L14" s="833">
        <v>711476</v>
      </c>
      <c r="M14" s="838"/>
    </row>
    <row r="15" spans="1:13">
      <c r="B15" s="837" t="s">
        <v>478</v>
      </c>
      <c r="C15" s="838">
        <v>431685</v>
      </c>
      <c r="D15" s="838">
        <v>878907</v>
      </c>
      <c r="E15" s="838">
        <v>3545537</v>
      </c>
      <c r="F15" s="838">
        <v>1559344</v>
      </c>
      <c r="G15" s="838">
        <v>239860</v>
      </c>
      <c r="H15" s="838">
        <v>244553</v>
      </c>
      <c r="I15" s="838">
        <v>2484970</v>
      </c>
      <c r="J15" s="833">
        <v>3913</v>
      </c>
      <c r="K15" s="833">
        <v>19199</v>
      </c>
      <c r="L15" s="833">
        <v>148249</v>
      </c>
      <c r="M15" s="838"/>
    </row>
    <row r="16" spans="1:13">
      <c r="B16" s="839"/>
      <c r="C16" s="838"/>
      <c r="D16" s="838"/>
      <c r="E16" s="838"/>
      <c r="F16" s="838"/>
      <c r="G16" s="838"/>
      <c r="H16" s="840"/>
      <c r="I16" s="838"/>
      <c r="J16" s="833"/>
      <c r="K16" s="833"/>
      <c r="L16" s="833"/>
      <c r="M16" s="838"/>
    </row>
    <row r="17" spans="2:13">
      <c r="B17" s="841" t="s">
        <v>561</v>
      </c>
      <c r="C17" s="838">
        <f>SUM(C9:C15)</f>
        <v>5815637</v>
      </c>
      <c r="D17" s="838">
        <f t="shared" ref="D17:I17" si="0">SUM(D9:D15)</f>
        <v>6964282</v>
      </c>
      <c r="E17" s="838">
        <f t="shared" si="0"/>
        <v>76376909</v>
      </c>
      <c r="F17" s="838">
        <f t="shared" si="0"/>
        <v>21718467</v>
      </c>
      <c r="G17" s="838">
        <f t="shared" si="0"/>
        <v>6392531</v>
      </c>
      <c r="H17" s="840">
        <f t="shared" si="0"/>
        <v>7203593</v>
      </c>
      <c r="I17" s="838">
        <f t="shared" si="0"/>
        <v>24719551</v>
      </c>
      <c r="J17" s="842">
        <f>SUM(J9:J15)</f>
        <v>55687</v>
      </c>
      <c r="K17" s="842">
        <f>SUM(K9:K15)</f>
        <v>261385</v>
      </c>
      <c r="L17" s="842">
        <f>SUM(L9:L15)</f>
        <v>1831887</v>
      </c>
      <c r="M17" s="838"/>
    </row>
    <row r="18" spans="2:13">
      <c r="B18" s="839"/>
      <c r="C18" s="838"/>
      <c r="D18" s="838"/>
      <c r="E18" s="838"/>
      <c r="F18" s="838"/>
      <c r="G18" s="838"/>
      <c r="H18" s="840"/>
      <c r="I18" s="838"/>
      <c r="J18" s="843"/>
      <c r="K18" s="843"/>
      <c r="L18" s="843"/>
      <c r="M18" s="838"/>
    </row>
    <row r="19" spans="2:13">
      <c r="B19" s="844" t="s">
        <v>562</v>
      </c>
      <c r="C19" s="838"/>
      <c r="D19" s="838"/>
      <c r="E19" s="838"/>
      <c r="F19" s="838"/>
      <c r="G19" s="838"/>
      <c r="H19" s="840"/>
      <c r="I19" s="838"/>
      <c r="J19" s="843"/>
      <c r="K19" s="843"/>
      <c r="L19" s="843"/>
      <c r="M19" s="838"/>
    </row>
    <row r="20" spans="2:13" ht="25.5">
      <c r="B20" s="837" t="s">
        <v>526</v>
      </c>
      <c r="C20" s="838">
        <v>124171</v>
      </c>
      <c r="D20" s="838">
        <v>15973</v>
      </c>
      <c r="E20" s="838">
        <v>1247006</v>
      </c>
      <c r="F20" s="838">
        <v>111581</v>
      </c>
      <c r="G20" s="838">
        <v>80912</v>
      </c>
      <c r="H20" s="838">
        <v>89017</v>
      </c>
      <c r="I20" s="838">
        <v>140887</v>
      </c>
      <c r="J20" s="833">
        <v>128</v>
      </c>
      <c r="K20" s="833">
        <v>693</v>
      </c>
      <c r="L20" s="833">
        <v>7348</v>
      </c>
      <c r="M20" s="838"/>
    </row>
    <row r="21" spans="2:13">
      <c r="B21" s="837" t="s">
        <v>563</v>
      </c>
      <c r="C21" s="838">
        <v>1315010</v>
      </c>
      <c r="D21" s="838">
        <v>640200</v>
      </c>
      <c r="E21" s="838">
        <v>24705332</v>
      </c>
      <c r="F21" s="838">
        <v>4598818</v>
      </c>
      <c r="G21" s="838">
        <v>793402</v>
      </c>
      <c r="H21" s="838">
        <v>1086840</v>
      </c>
      <c r="I21" s="838">
        <v>0</v>
      </c>
      <c r="J21" s="833">
        <v>2880</v>
      </c>
      <c r="K21" s="833">
        <v>15338</v>
      </c>
      <c r="L21" s="833">
        <v>193507</v>
      </c>
      <c r="M21" s="838"/>
    </row>
    <row r="22" spans="2:13">
      <c r="B22" s="837" t="s">
        <v>564</v>
      </c>
      <c r="C22" s="838">
        <v>1367992</v>
      </c>
      <c r="D22" s="838">
        <v>268541</v>
      </c>
      <c r="E22" s="838">
        <v>15781981</v>
      </c>
      <c r="F22" s="838">
        <v>4461426</v>
      </c>
      <c r="G22" s="838">
        <v>1127213</v>
      </c>
      <c r="H22" s="838">
        <v>996762</v>
      </c>
      <c r="I22" s="838">
        <v>0</v>
      </c>
      <c r="J22" s="833">
        <v>3493</v>
      </c>
      <c r="K22" s="833">
        <v>19454</v>
      </c>
      <c r="L22" s="833">
        <v>283604</v>
      </c>
      <c r="M22" s="838"/>
    </row>
    <row r="23" spans="2:13">
      <c r="B23" s="837"/>
      <c r="C23" s="838"/>
      <c r="D23" s="838"/>
      <c r="E23" s="838"/>
      <c r="F23" s="838"/>
      <c r="G23" s="838"/>
      <c r="H23" s="838"/>
      <c r="I23" s="838"/>
      <c r="J23" s="833"/>
      <c r="K23" s="833"/>
      <c r="L23" s="833"/>
      <c r="M23" s="838"/>
    </row>
    <row r="24" spans="2:13">
      <c r="B24" s="837" t="s">
        <v>527</v>
      </c>
      <c r="C24" s="838">
        <f>SUM(C21:C22)</f>
        <v>2683002</v>
      </c>
      <c r="D24" s="838">
        <f t="shared" ref="D24:I24" si="1">SUM(D21:D22)</f>
        <v>908741</v>
      </c>
      <c r="E24" s="838">
        <f t="shared" si="1"/>
        <v>40487313</v>
      </c>
      <c r="F24" s="838">
        <f t="shared" si="1"/>
        <v>9060244</v>
      </c>
      <c r="G24" s="838">
        <f t="shared" si="1"/>
        <v>1920615</v>
      </c>
      <c r="H24" s="838">
        <f t="shared" si="1"/>
        <v>2083602</v>
      </c>
      <c r="I24" s="838">
        <f t="shared" si="1"/>
        <v>0</v>
      </c>
      <c r="J24" s="833">
        <f>J21+J22</f>
        <v>6373</v>
      </c>
      <c r="K24" s="833">
        <f>K21+K22</f>
        <v>34792</v>
      </c>
      <c r="L24" s="833">
        <f>L21+L22</f>
        <v>477111</v>
      </c>
      <c r="M24" s="845"/>
    </row>
    <row r="25" spans="2:13">
      <c r="B25" s="841" t="s">
        <v>565</v>
      </c>
      <c r="C25" s="838">
        <f>C20+C24</f>
        <v>2807173</v>
      </c>
      <c r="D25" s="838">
        <f t="shared" ref="D25:I25" si="2">D20+D24</f>
        <v>924714</v>
      </c>
      <c r="E25" s="838">
        <f t="shared" si="2"/>
        <v>41734319</v>
      </c>
      <c r="F25" s="838">
        <f t="shared" si="2"/>
        <v>9171825</v>
      </c>
      <c r="G25" s="838">
        <f t="shared" si="2"/>
        <v>2001527</v>
      </c>
      <c r="H25" s="838">
        <f t="shared" si="2"/>
        <v>2172619</v>
      </c>
      <c r="I25" s="838">
        <f t="shared" si="2"/>
        <v>140887</v>
      </c>
      <c r="J25" s="833">
        <f>J20+J24</f>
        <v>6501</v>
      </c>
      <c r="K25" s="833">
        <f>K20+K24</f>
        <v>35485</v>
      </c>
      <c r="L25" s="833">
        <f>L20+L24</f>
        <v>484459</v>
      </c>
      <c r="M25" s="838"/>
    </row>
    <row r="26" spans="2:13">
      <c r="B26" s="839"/>
      <c r="C26" s="838"/>
      <c r="D26" s="838"/>
      <c r="E26" s="838"/>
      <c r="F26" s="838"/>
      <c r="G26" s="838"/>
      <c r="H26" s="838"/>
      <c r="I26" s="838"/>
      <c r="J26" s="843"/>
      <c r="K26" s="843"/>
      <c r="L26" s="843"/>
      <c r="M26" s="838"/>
    </row>
    <row r="27" spans="2:13">
      <c r="B27" s="844" t="s">
        <v>566</v>
      </c>
      <c r="C27" s="838"/>
      <c r="D27" s="838"/>
      <c r="E27" s="838"/>
      <c r="F27" s="838"/>
      <c r="G27" s="838"/>
      <c r="H27" s="838"/>
      <c r="I27" s="838"/>
      <c r="J27" s="843"/>
      <c r="K27" s="843"/>
      <c r="L27" s="843"/>
      <c r="M27" s="838"/>
    </row>
    <row r="28" spans="2:13" ht="25.5">
      <c r="B28" s="839" t="s">
        <v>522</v>
      </c>
      <c r="C28" s="838">
        <v>5376380</v>
      </c>
      <c r="D28" s="838">
        <v>2323611</v>
      </c>
      <c r="E28" s="838">
        <v>48818129</v>
      </c>
      <c r="F28" s="838">
        <v>12087517</v>
      </c>
      <c r="G28" s="838">
        <v>3120131</v>
      </c>
      <c r="H28" s="840">
        <v>3332235</v>
      </c>
      <c r="I28" s="838">
        <v>12812950</v>
      </c>
      <c r="J28" s="833">
        <v>40817</v>
      </c>
      <c r="K28" s="833">
        <v>143653</v>
      </c>
      <c r="L28" s="833">
        <v>2279915</v>
      </c>
      <c r="M28" s="838"/>
    </row>
    <row r="29" spans="2:13" ht="25.5">
      <c r="B29" s="839" t="s">
        <v>523</v>
      </c>
      <c r="C29" s="838">
        <v>18134</v>
      </c>
      <c r="D29" s="838">
        <v>6138</v>
      </c>
      <c r="E29" s="838">
        <v>825627</v>
      </c>
      <c r="F29" s="838">
        <v>117569</v>
      </c>
      <c r="G29" s="838">
        <v>76071</v>
      </c>
      <c r="H29" s="840">
        <v>0</v>
      </c>
      <c r="I29" s="838">
        <v>0</v>
      </c>
      <c r="J29" s="833">
        <v>797</v>
      </c>
      <c r="K29" s="833">
        <v>2682</v>
      </c>
      <c r="L29" s="833">
        <v>39882</v>
      </c>
      <c r="M29" s="838"/>
    </row>
    <row r="30" spans="2:13">
      <c r="B30" s="839" t="s">
        <v>494</v>
      </c>
      <c r="C30" s="838">
        <v>8771493</v>
      </c>
      <c r="D30" s="838">
        <v>3634291</v>
      </c>
      <c r="E30" s="838">
        <v>123676436</v>
      </c>
      <c r="F30" s="838">
        <v>20553781</v>
      </c>
      <c r="G30" s="838">
        <v>6751273</v>
      </c>
      <c r="H30" s="840">
        <v>9154212</v>
      </c>
      <c r="I30" s="838">
        <v>123449775</v>
      </c>
      <c r="J30" s="833">
        <v>135690</v>
      </c>
      <c r="K30" s="833">
        <v>515491</v>
      </c>
      <c r="L30" s="833">
        <v>6456260</v>
      </c>
      <c r="M30" s="838"/>
    </row>
    <row r="31" spans="2:13">
      <c r="B31" s="846" t="s">
        <v>524</v>
      </c>
      <c r="C31" s="838">
        <v>17646</v>
      </c>
      <c r="D31" s="838">
        <v>5973</v>
      </c>
      <c r="E31" s="838">
        <v>803398</v>
      </c>
      <c r="F31" s="838">
        <v>114404</v>
      </c>
      <c r="G31" s="838">
        <v>44568</v>
      </c>
      <c r="H31" s="840">
        <v>0</v>
      </c>
      <c r="I31" s="838">
        <v>0</v>
      </c>
      <c r="J31" s="833">
        <v>505</v>
      </c>
      <c r="K31" s="833">
        <v>1801</v>
      </c>
      <c r="L31" s="833">
        <v>23308</v>
      </c>
      <c r="M31" s="838"/>
    </row>
    <row r="32" spans="2:13">
      <c r="B32" s="839" t="s">
        <v>496</v>
      </c>
      <c r="C32" s="838">
        <v>2290400</v>
      </c>
      <c r="D32" s="838">
        <v>938844</v>
      </c>
      <c r="E32" s="838">
        <v>62123877</v>
      </c>
      <c r="F32" s="838">
        <v>6787634</v>
      </c>
      <c r="G32" s="838">
        <v>2438687</v>
      </c>
      <c r="H32" s="840">
        <v>3330956</v>
      </c>
      <c r="I32" s="838">
        <v>19238706</v>
      </c>
      <c r="J32" s="833">
        <v>39434</v>
      </c>
      <c r="K32" s="833">
        <v>140153</v>
      </c>
      <c r="L32" s="833">
        <v>1730058</v>
      </c>
      <c r="M32" s="838"/>
    </row>
    <row r="33" spans="2:13">
      <c r="B33" s="846" t="s">
        <v>525</v>
      </c>
      <c r="C33" s="838">
        <v>80768</v>
      </c>
      <c r="D33" s="838">
        <v>27339</v>
      </c>
      <c r="E33" s="838">
        <v>3677215</v>
      </c>
      <c r="F33" s="838">
        <v>538836</v>
      </c>
      <c r="G33" s="838">
        <v>127994</v>
      </c>
      <c r="H33" s="840">
        <v>4452152</v>
      </c>
      <c r="I33" s="838">
        <v>0</v>
      </c>
      <c r="J33" s="833">
        <v>1311</v>
      </c>
      <c r="K33" s="833">
        <v>5725</v>
      </c>
      <c r="L33" s="833">
        <v>70165</v>
      </c>
      <c r="M33" s="838"/>
    </row>
    <row r="34" spans="2:13">
      <c r="B34" s="846"/>
      <c r="C34" s="838"/>
      <c r="D34" s="838"/>
      <c r="E34" s="838"/>
      <c r="F34" s="838"/>
      <c r="G34" s="838"/>
      <c r="H34" s="838"/>
      <c r="I34" s="838"/>
      <c r="J34" s="833"/>
      <c r="K34" s="833"/>
      <c r="L34" s="833"/>
      <c r="M34" s="838"/>
    </row>
    <row r="35" spans="2:13">
      <c r="B35" s="847" t="s">
        <v>567</v>
      </c>
      <c r="C35" s="848">
        <f>SUM(C28:C33)</f>
        <v>16554821</v>
      </c>
      <c r="D35" s="848">
        <f t="shared" ref="D35:L35" si="3">SUM(D28:D33)</f>
        <v>6936196</v>
      </c>
      <c r="E35" s="848">
        <f t="shared" si="3"/>
        <v>239924682</v>
      </c>
      <c r="F35" s="848">
        <f t="shared" si="3"/>
        <v>40199741</v>
      </c>
      <c r="G35" s="848">
        <f t="shared" si="3"/>
        <v>12558724</v>
      </c>
      <c r="H35" s="848">
        <f t="shared" si="3"/>
        <v>20269555</v>
      </c>
      <c r="I35" s="848">
        <f t="shared" si="3"/>
        <v>155501431</v>
      </c>
      <c r="J35" s="848">
        <f t="shared" si="3"/>
        <v>218554</v>
      </c>
      <c r="K35" s="848">
        <f t="shared" si="3"/>
        <v>809505</v>
      </c>
      <c r="L35" s="848">
        <f t="shared" si="3"/>
        <v>10599588</v>
      </c>
    </row>
    <row r="36" spans="2:13">
      <c r="B36" s="833"/>
      <c r="C36" s="833"/>
      <c r="D36" s="833"/>
      <c r="E36" s="833"/>
      <c r="F36" s="833"/>
      <c r="G36" s="833"/>
      <c r="H36" s="833"/>
      <c r="I36" s="833"/>
      <c r="J36" s="833"/>
      <c r="K36" s="833"/>
      <c r="L36" s="833"/>
      <c r="M36" s="833"/>
    </row>
    <row r="37" spans="2:13">
      <c r="B37" s="833" t="s">
        <v>93</v>
      </c>
      <c r="C37" s="833" t="s">
        <v>568</v>
      </c>
      <c r="D37" s="833"/>
      <c r="E37" s="833"/>
      <c r="F37" s="833"/>
      <c r="G37" s="833"/>
      <c r="H37" s="833"/>
      <c r="I37" s="833"/>
      <c r="J37" s="833"/>
      <c r="K37" s="833"/>
      <c r="L37" s="833"/>
      <c r="M37" s="833"/>
    </row>
    <row r="38" spans="2:13">
      <c r="B38" s="833"/>
      <c r="C38" s="833" t="s">
        <v>569</v>
      </c>
      <c r="D38" s="833"/>
      <c r="E38" s="833"/>
      <c r="F38" s="833"/>
      <c r="G38" s="833"/>
      <c r="H38" s="833"/>
      <c r="I38" s="833"/>
      <c r="J38" s="833"/>
      <c r="K38" s="833"/>
      <c r="L38" s="833"/>
      <c r="M38" s="833"/>
    </row>
    <row r="39" spans="2:13">
      <c r="B39" s="833"/>
      <c r="D39" s="833"/>
      <c r="E39" s="833"/>
      <c r="F39" s="833"/>
      <c r="G39" s="833"/>
      <c r="H39" s="833"/>
      <c r="I39" s="833"/>
      <c r="J39" s="833"/>
      <c r="K39" s="833"/>
      <c r="L39" s="833"/>
      <c r="M39" s="833"/>
    </row>
    <row r="40" spans="2:13" ht="30" customHeight="1">
      <c r="B40" s="835" t="s">
        <v>570</v>
      </c>
      <c r="C40" s="1362" t="s">
        <v>571</v>
      </c>
      <c r="D40" s="1362"/>
      <c r="E40" s="1362"/>
      <c r="F40" s="1362"/>
      <c r="G40" s="1362"/>
      <c r="H40" s="1362"/>
      <c r="I40" s="1362"/>
      <c r="J40" s="1362"/>
      <c r="K40" s="849"/>
      <c r="L40" s="849"/>
      <c r="M40" s="833"/>
    </row>
    <row r="41" spans="2:13" ht="15" customHeight="1">
      <c r="B41" s="833"/>
      <c r="C41" s="839"/>
      <c r="D41" s="839"/>
      <c r="E41" s="839"/>
      <c r="F41" s="839"/>
      <c r="G41" s="839"/>
      <c r="H41" s="839"/>
      <c r="I41" s="839"/>
      <c r="J41" s="839"/>
      <c r="K41" s="849"/>
      <c r="L41" s="849"/>
      <c r="M41" s="833"/>
    </row>
    <row r="42" spans="2:13" ht="30" customHeight="1">
      <c r="B42" s="833" t="s">
        <v>552</v>
      </c>
      <c r="C42" s="1363" t="s">
        <v>572</v>
      </c>
      <c r="D42" s="1363"/>
      <c r="E42" s="1363"/>
      <c r="F42" s="1363"/>
      <c r="G42" s="1363"/>
      <c r="H42" s="1363"/>
      <c r="I42" s="1363"/>
      <c r="J42" s="1363"/>
      <c r="K42" s="833"/>
      <c r="L42" s="833"/>
      <c r="M42" s="833"/>
    </row>
    <row r="43" spans="2:13">
      <c r="C43" s="1364" t="s">
        <v>573</v>
      </c>
      <c r="D43" s="1364"/>
      <c r="E43" s="1364"/>
      <c r="F43" s="1364"/>
      <c r="G43" s="1364"/>
      <c r="H43" s="1364"/>
      <c r="I43" s="1364"/>
      <c r="J43" s="1364"/>
    </row>
    <row r="45" spans="2:13">
      <c r="B45" s="829" t="s">
        <v>553</v>
      </c>
      <c r="C45" s="829" t="s">
        <v>574</v>
      </c>
    </row>
    <row r="47" spans="2:13">
      <c r="B47" s="829" t="s">
        <v>554</v>
      </c>
      <c r="C47" s="829" t="s">
        <v>575</v>
      </c>
    </row>
    <row r="48" spans="2:13">
      <c r="C48" s="829" t="s">
        <v>576</v>
      </c>
    </row>
    <row r="50" spans="2:3">
      <c r="B50" s="829" t="s">
        <v>577</v>
      </c>
      <c r="C50" s="829" t="s">
        <v>578</v>
      </c>
    </row>
    <row r="51" spans="2:3">
      <c r="C51" s="829" t="s">
        <v>579</v>
      </c>
    </row>
    <row r="52" spans="2:3">
      <c r="C52" s="829" t="s">
        <v>580</v>
      </c>
    </row>
    <row r="54" spans="2:3">
      <c r="B54" s="829" t="s">
        <v>581</v>
      </c>
      <c r="C54" s="850" t="s">
        <v>582</v>
      </c>
    </row>
    <row r="55" spans="2:3">
      <c r="C55" s="850" t="s">
        <v>583</v>
      </c>
    </row>
    <row r="57" spans="2:3">
      <c r="B57" s="835" t="s">
        <v>584</v>
      </c>
      <c r="C57" s="829" t="s">
        <v>585</v>
      </c>
    </row>
  </sheetData>
  <mergeCells count="4">
    <mergeCell ref="B7:L7"/>
    <mergeCell ref="C40:J40"/>
    <mergeCell ref="C42:J42"/>
    <mergeCell ref="C43:J43"/>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theme="2" tint="-0.499984740745262"/>
  </sheetPr>
  <dimension ref="A1:I51"/>
  <sheetViews>
    <sheetView topLeftCell="B1" zoomScaleNormal="100" workbookViewId="0">
      <selection activeCell="C2" sqref="C2"/>
    </sheetView>
  </sheetViews>
  <sheetFormatPr defaultRowHeight="12.75" outlineLevelCol="1"/>
  <cols>
    <col min="1" max="1" width="2.85546875" style="851" hidden="1" customWidth="1" outlineLevel="1"/>
    <col min="2" max="2" width="10.28515625" style="764" bestFit="1" customWidth="1" collapsed="1"/>
    <col min="3" max="3" width="32.7109375" style="764" bestFit="1" customWidth="1"/>
    <col min="4" max="4" width="1.7109375" style="764" customWidth="1"/>
    <col min="5" max="9" width="14.7109375" style="813" customWidth="1"/>
    <col min="10" max="16384" width="9.140625" style="764"/>
  </cols>
  <sheetData>
    <row r="1" spans="1:9">
      <c r="B1" s="826" t="s">
        <v>91</v>
      </c>
      <c r="C1" s="126" t="str">
        <f>'ORTP Summary'!C1</f>
        <v>ISO-NE ORTP 2013 Study</v>
      </c>
    </row>
    <row r="2" spans="1:9">
      <c r="B2" s="826" t="s">
        <v>92</v>
      </c>
      <c r="C2" s="830" t="s">
        <v>113</v>
      </c>
    </row>
    <row r="3" spans="1:9">
      <c r="B3" s="826" t="s">
        <v>114</v>
      </c>
      <c r="C3" s="831" t="s">
        <v>586</v>
      </c>
    </row>
    <row r="4" spans="1:9">
      <c r="B4" s="826" t="s">
        <v>547</v>
      </c>
      <c r="C4" s="764" t="s">
        <v>498</v>
      </c>
    </row>
    <row r="5" spans="1:9">
      <c r="B5" s="826"/>
      <c r="C5" s="596" t="s">
        <v>587</v>
      </c>
    </row>
    <row r="6" spans="1:9">
      <c r="B6" s="826"/>
      <c r="C6" s="596"/>
    </row>
    <row r="7" spans="1:9" ht="6" customHeight="1" thickBot="1">
      <c r="B7" s="826"/>
      <c r="C7" s="852"/>
      <c r="D7" s="763"/>
      <c r="E7" s="853"/>
      <c r="F7" s="853"/>
      <c r="G7" s="853"/>
      <c r="H7" s="853"/>
      <c r="I7" s="853"/>
    </row>
    <row r="8" spans="1:9" ht="6" customHeight="1" thickTop="1"/>
    <row r="9" spans="1:9" s="855" customFormat="1" ht="25.5">
      <c r="A9" s="854"/>
      <c r="E9" s="856" t="s">
        <v>459</v>
      </c>
      <c r="F9" s="856" t="s">
        <v>514</v>
      </c>
      <c r="G9" s="856" t="s">
        <v>515</v>
      </c>
      <c r="H9" s="856" t="s">
        <v>471</v>
      </c>
      <c r="I9" s="856" t="s">
        <v>477</v>
      </c>
    </row>
    <row r="10" spans="1:9" s="855" customFormat="1" ht="6" customHeight="1">
      <c r="A10" s="854"/>
      <c r="C10" s="857"/>
      <c r="D10" s="857"/>
      <c r="E10" s="858"/>
      <c r="F10" s="858"/>
      <c r="G10" s="858"/>
      <c r="H10" s="858"/>
      <c r="I10" s="858"/>
    </row>
    <row r="11" spans="1:9" ht="6" customHeight="1"/>
    <row r="12" spans="1:9">
      <c r="C12" s="785" t="s">
        <v>89</v>
      </c>
    </row>
    <row r="13" spans="1:9">
      <c r="A13" s="851">
        <v>4</v>
      </c>
      <c r="C13" s="780" t="s">
        <v>588</v>
      </c>
      <c r="E13" s="859">
        <v>231727</v>
      </c>
      <c r="F13" s="859">
        <v>278530</v>
      </c>
      <c r="G13" s="859">
        <v>249045</v>
      </c>
      <c r="H13" s="859">
        <v>129919</v>
      </c>
      <c r="I13" s="859">
        <v>423386</v>
      </c>
    </row>
    <row r="14" spans="1:9">
      <c r="A14" s="851">
        <v>1</v>
      </c>
      <c r="C14" s="780" t="s">
        <v>589</v>
      </c>
      <c r="E14" s="859">
        <v>665010</v>
      </c>
      <c r="F14" s="859">
        <v>876300</v>
      </c>
      <c r="G14" s="859">
        <v>1494287</v>
      </c>
      <c r="H14" s="859">
        <v>181164</v>
      </c>
      <c r="I14" s="859">
        <v>1046346</v>
      </c>
    </row>
    <row r="15" spans="1:9">
      <c r="A15" s="851">
        <v>4</v>
      </c>
      <c r="C15" s="780" t="s">
        <v>590</v>
      </c>
      <c r="E15" s="859">
        <v>27166</v>
      </c>
      <c r="F15" s="859">
        <v>8116</v>
      </c>
      <c r="G15" s="859">
        <v>156516</v>
      </c>
      <c r="H15" s="859">
        <v>461578</v>
      </c>
      <c r="I15" s="859">
        <v>726786</v>
      </c>
    </row>
    <row r="16" spans="1:9">
      <c r="C16" s="860" t="s">
        <v>591</v>
      </c>
      <c r="D16" s="785"/>
      <c r="E16" s="861">
        <v>923903</v>
      </c>
      <c r="F16" s="861">
        <v>1162946</v>
      </c>
      <c r="G16" s="861">
        <v>1899848</v>
      </c>
      <c r="H16" s="861">
        <v>772660</v>
      </c>
      <c r="I16" s="861">
        <v>2196519</v>
      </c>
    </row>
    <row r="17" spans="1:9" ht="6" customHeight="1">
      <c r="C17" s="860"/>
      <c r="D17" s="785"/>
      <c r="E17" s="861"/>
      <c r="F17" s="861"/>
      <c r="G17" s="861"/>
      <c r="H17" s="861"/>
      <c r="I17" s="861"/>
    </row>
    <row r="18" spans="1:9">
      <c r="C18" s="785" t="s">
        <v>592</v>
      </c>
    </row>
    <row r="19" spans="1:9">
      <c r="A19" s="851">
        <v>1</v>
      </c>
      <c r="C19" s="780" t="s">
        <v>593</v>
      </c>
      <c r="E19" s="859">
        <v>948638</v>
      </c>
      <c r="F19" s="859">
        <v>246572</v>
      </c>
      <c r="G19" s="859">
        <v>494824</v>
      </c>
      <c r="H19" s="859">
        <v>906413</v>
      </c>
      <c r="I19" s="859">
        <v>2063339</v>
      </c>
    </row>
    <row r="20" spans="1:9">
      <c r="A20" s="851">
        <v>1</v>
      </c>
      <c r="C20" s="780" t="s">
        <v>594</v>
      </c>
      <c r="E20" s="859">
        <v>17804</v>
      </c>
      <c r="F20" s="859">
        <v>73796</v>
      </c>
      <c r="G20" s="859">
        <v>16009</v>
      </c>
      <c r="H20" s="859">
        <v>66406</v>
      </c>
      <c r="I20" s="859">
        <v>164482</v>
      </c>
    </row>
    <row r="21" spans="1:9">
      <c r="C21" s="860" t="s">
        <v>595</v>
      </c>
      <c r="D21" s="785"/>
      <c r="E21" s="861">
        <v>966442</v>
      </c>
      <c r="F21" s="861">
        <v>320368</v>
      </c>
      <c r="G21" s="861">
        <v>510833</v>
      </c>
      <c r="H21" s="861">
        <v>972819</v>
      </c>
      <c r="I21" s="861">
        <v>2227821</v>
      </c>
    </row>
    <row r="22" spans="1:9" ht="6" customHeight="1">
      <c r="C22" s="860"/>
      <c r="D22" s="785"/>
      <c r="E22" s="861"/>
      <c r="F22" s="861"/>
      <c r="G22" s="861"/>
      <c r="H22" s="861"/>
      <c r="I22" s="861"/>
    </row>
    <row r="23" spans="1:9">
      <c r="C23" s="785" t="s">
        <v>596</v>
      </c>
    </row>
    <row r="24" spans="1:9">
      <c r="A24" s="851">
        <v>1</v>
      </c>
      <c r="C24" s="780" t="s">
        <v>597</v>
      </c>
      <c r="E24" s="859">
        <v>0</v>
      </c>
      <c r="F24" s="859">
        <v>0</v>
      </c>
      <c r="G24" s="859">
        <v>0</v>
      </c>
      <c r="H24" s="859">
        <v>0</v>
      </c>
      <c r="I24" s="859">
        <v>0</v>
      </c>
    </row>
    <row r="25" spans="1:9">
      <c r="A25" s="851">
        <v>1</v>
      </c>
      <c r="C25" s="780" t="s">
        <v>598</v>
      </c>
      <c r="E25" s="859">
        <v>0</v>
      </c>
      <c r="F25" s="859">
        <v>0</v>
      </c>
      <c r="G25" s="859">
        <v>0</v>
      </c>
      <c r="H25" s="859">
        <v>0</v>
      </c>
      <c r="I25" s="859">
        <v>0</v>
      </c>
    </row>
    <row r="26" spans="1:9">
      <c r="A26" s="851">
        <v>4</v>
      </c>
      <c r="C26" s="780" t="s">
        <v>599</v>
      </c>
      <c r="E26" s="859">
        <v>16387</v>
      </c>
      <c r="F26" s="859">
        <v>44425</v>
      </c>
      <c r="G26" s="859">
        <v>17743</v>
      </c>
      <c r="H26" s="859">
        <v>7197</v>
      </c>
      <c r="I26" s="859">
        <v>19253</v>
      </c>
    </row>
    <row r="27" spans="1:9">
      <c r="A27" s="851">
        <v>4</v>
      </c>
      <c r="C27" s="780" t="s">
        <v>600</v>
      </c>
      <c r="E27" s="859">
        <v>184835</v>
      </c>
      <c r="F27" s="859">
        <v>389752</v>
      </c>
      <c r="G27" s="859">
        <v>270058</v>
      </c>
      <c r="H27" s="859">
        <v>133176</v>
      </c>
      <c r="I27" s="859">
        <v>306915</v>
      </c>
    </row>
    <row r="28" spans="1:9">
      <c r="A28" s="851">
        <v>6</v>
      </c>
      <c r="C28" s="780" t="s">
        <v>601</v>
      </c>
      <c r="E28" s="859">
        <v>16007</v>
      </c>
      <c r="F28" s="859">
        <v>14065</v>
      </c>
      <c r="G28" s="859">
        <v>16542</v>
      </c>
      <c r="H28" s="859">
        <v>39955</v>
      </c>
      <c r="I28" s="859">
        <v>98233</v>
      </c>
    </row>
    <row r="29" spans="1:9">
      <c r="A29" s="851">
        <v>4</v>
      </c>
      <c r="C29" s="780" t="s">
        <v>602</v>
      </c>
      <c r="E29" s="859">
        <v>20284</v>
      </c>
      <c r="F29" s="859">
        <v>17964</v>
      </c>
      <c r="G29" s="859">
        <v>19672</v>
      </c>
      <c r="H29" s="859">
        <v>11036</v>
      </c>
      <c r="I29" s="859">
        <v>27569</v>
      </c>
    </row>
    <row r="30" spans="1:9">
      <c r="A30" s="851">
        <v>1</v>
      </c>
      <c r="C30" s="780" t="s">
        <v>603</v>
      </c>
      <c r="E30" s="859">
        <v>64</v>
      </c>
      <c r="F30" s="859">
        <v>57</v>
      </c>
      <c r="G30" s="859">
        <v>59</v>
      </c>
      <c r="H30" s="859">
        <v>29</v>
      </c>
      <c r="I30" s="859">
        <v>69</v>
      </c>
    </row>
    <row r="31" spans="1:9">
      <c r="A31" s="851">
        <v>1</v>
      </c>
      <c r="C31" s="780" t="s">
        <v>604</v>
      </c>
      <c r="E31" s="859">
        <v>22904</v>
      </c>
      <c r="F31" s="859">
        <v>36011</v>
      </c>
      <c r="G31" s="859">
        <v>37485</v>
      </c>
      <c r="H31" s="859">
        <v>24363</v>
      </c>
      <c r="I31" s="859">
        <v>58505</v>
      </c>
    </row>
    <row r="32" spans="1:9">
      <c r="A32" s="851">
        <v>4</v>
      </c>
      <c r="C32" s="780" t="s">
        <v>605</v>
      </c>
      <c r="E32" s="859">
        <v>209</v>
      </c>
      <c r="F32" s="859">
        <v>186</v>
      </c>
      <c r="G32" s="859">
        <v>193</v>
      </c>
      <c r="H32" s="859">
        <v>94</v>
      </c>
      <c r="I32" s="859">
        <v>6456</v>
      </c>
    </row>
    <row r="33" spans="1:9">
      <c r="C33" s="860" t="s">
        <v>606</v>
      </c>
      <c r="D33" s="785"/>
      <c r="E33" s="861">
        <v>260690</v>
      </c>
      <c r="F33" s="861">
        <v>502460</v>
      </c>
      <c r="G33" s="861">
        <v>361753</v>
      </c>
      <c r="H33" s="861">
        <v>215850</v>
      </c>
      <c r="I33" s="861">
        <v>516999</v>
      </c>
    </row>
    <row r="34" spans="1:9" ht="6" customHeight="1">
      <c r="C34" s="860"/>
      <c r="D34" s="785"/>
      <c r="E34" s="861"/>
      <c r="F34" s="861"/>
      <c r="G34" s="861"/>
      <c r="H34" s="861"/>
      <c r="I34" s="861"/>
    </row>
    <row r="35" spans="1:9">
      <c r="C35" s="785" t="s">
        <v>607</v>
      </c>
    </row>
    <row r="36" spans="1:9">
      <c r="A36" s="851">
        <v>3</v>
      </c>
      <c r="C36" s="780" t="s">
        <v>608</v>
      </c>
      <c r="E36" s="859">
        <v>316459</v>
      </c>
      <c r="F36" s="859">
        <v>4561686</v>
      </c>
      <c r="G36" s="859">
        <v>2092425</v>
      </c>
      <c r="H36" s="859">
        <v>1405784</v>
      </c>
      <c r="I36" s="859">
        <v>9736743</v>
      </c>
    </row>
    <row r="37" spans="1:9">
      <c r="A37" s="851">
        <v>3</v>
      </c>
      <c r="C37" s="780" t="s">
        <v>609</v>
      </c>
      <c r="E37" s="859">
        <v>11</v>
      </c>
      <c r="F37" s="859">
        <v>74</v>
      </c>
      <c r="G37" s="859">
        <v>5955</v>
      </c>
      <c r="H37" s="859">
        <v>16694</v>
      </c>
      <c r="I37" s="859">
        <v>51895</v>
      </c>
    </row>
    <row r="38" spans="1:9">
      <c r="C38" s="860" t="s">
        <v>610</v>
      </c>
      <c r="D38" s="785"/>
      <c r="E38" s="861">
        <v>316470</v>
      </c>
      <c r="F38" s="861">
        <v>4561760</v>
      </c>
      <c r="G38" s="861">
        <v>2098381</v>
      </c>
      <c r="H38" s="861">
        <v>1422478</v>
      </c>
      <c r="I38" s="861">
        <v>9788637</v>
      </c>
    </row>
    <row r="39" spans="1:9" ht="6" customHeight="1">
      <c r="C39" s="860"/>
      <c r="D39" s="785"/>
      <c r="E39" s="861"/>
      <c r="F39" s="861"/>
      <c r="G39" s="861"/>
      <c r="H39" s="861"/>
      <c r="I39" s="861"/>
    </row>
    <row r="40" spans="1:9">
      <c r="C40" s="785" t="s">
        <v>611</v>
      </c>
      <c r="D40" s="785"/>
      <c r="E40" s="862">
        <v>2467505</v>
      </c>
      <c r="F40" s="862">
        <v>6547533</v>
      </c>
      <c r="G40" s="862">
        <v>4870814</v>
      </c>
      <c r="H40" s="862">
        <v>3383808</v>
      </c>
      <c r="I40" s="862">
        <v>14729976</v>
      </c>
    </row>
    <row r="41" spans="1:9">
      <c r="A41" s="851">
        <v>5</v>
      </c>
      <c r="C41" s="780" t="s">
        <v>612</v>
      </c>
      <c r="E41" s="863">
        <v>1362473</v>
      </c>
      <c r="F41" s="863">
        <v>212751</v>
      </c>
      <c r="G41" s="863">
        <v>879799</v>
      </c>
      <c r="H41" s="863">
        <v>5630452</v>
      </c>
      <c r="I41" s="863">
        <v>13145588</v>
      </c>
    </row>
    <row r="42" spans="1:9">
      <c r="A42" s="851">
        <v>5</v>
      </c>
      <c r="C42" s="780" t="s">
        <v>613</v>
      </c>
      <c r="E42" s="859">
        <v>56804</v>
      </c>
      <c r="F42" s="859">
        <v>1604776</v>
      </c>
      <c r="G42" s="859">
        <v>236411</v>
      </c>
      <c r="H42" s="859">
        <v>43</v>
      </c>
      <c r="I42" s="859">
        <v>255002</v>
      </c>
    </row>
    <row r="43" spans="1:9">
      <c r="C43" s="785" t="s">
        <v>614</v>
      </c>
      <c r="D43" s="785"/>
      <c r="E43" s="862">
        <v>3886783</v>
      </c>
      <c r="F43" s="862">
        <v>8365060</v>
      </c>
      <c r="G43" s="862">
        <v>5987025</v>
      </c>
      <c r="H43" s="862">
        <v>9014303</v>
      </c>
      <c r="I43" s="862">
        <v>28130565</v>
      </c>
    </row>
    <row r="44" spans="1:9" ht="6" customHeight="1"/>
    <row r="45" spans="1:9">
      <c r="C45" s="785" t="s">
        <v>615</v>
      </c>
    </row>
    <row r="46" spans="1:9">
      <c r="C46" s="864" t="s">
        <v>533</v>
      </c>
      <c r="E46" s="865">
        <f>187/1000</f>
        <v>0.187</v>
      </c>
      <c r="F46" s="865">
        <f>4.891</f>
        <v>4.891</v>
      </c>
      <c r="G46" s="865">
        <f>0.308</f>
        <v>0.308</v>
      </c>
      <c r="H46" s="865">
        <f>2133/1000</f>
        <v>2.133</v>
      </c>
      <c r="I46" s="865">
        <v>6.4349999999999996</v>
      </c>
    </row>
    <row r="47" spans="1:9">
      <c r="C47" s="864" t="s">
        <v>535</v>
      </c>
      <c r="E47" s="866">
        <f>206/1000</f>
        <v>0.20599999999999999</v>
      </c>
      <c r="F47" s="866">
        <f>5.405</f>
        <v>5.4050000000000002</v>
      </c>
      <c r="G47" s="866">
        <f>0.341</f>
        <v>0.34100000000000003</v>
      </c>
      <c r="H47" s="866">
        <f>2357/1000</f>
        <v>2.3570000000000002</v>
      </c>
      <c r="I47" s="865">
        <f>7.111</f>
        <v>7.1109999999999998</v>
      </c>
    </row>
    <row r="48" spans="1:9" ht="6" customHeight="1" thickBot="1">
      <c r="C48" s="867"/>
      <c r="D48" s="763"/>
      <c r="E48" s="868"/>
      <c r="F48" s="868"/>
      <c r="G48" s="868"/>
      <c r="H48" s="868"/>
      <c r="I48" s="869"/>
    </row>
    <row r="49" spans="3:9" ht="6" customHeight="1" thickTop="1">
      <c r="C49" s="780"/>
      <c r="E49" s="866"/>
      <c r="F49" s="866"/>
      <c r="G49" s="866"/>
      <c r="H49" s="866"/>
      <c r="I49" s="865"/>
    </row>
    <row r="50" spans="3:9">
      <c r="C50" s="780"/>
      <c r="E50" s="866"/>
      <c r="F50" s="866"/>
      <c r="G50" s="866"/>
      <c r="H50" s="866"/>
      <c r="I50" s="865"/>
    </row>
    <row r="51" spans="3:9">
      <c r="C51" s="596"/>
    </row>
  </sheetData>
  <pageMargins left="0.7" right="0.7" top="0.75" bottom="0.75" header="0.3" footer="0.3"/>
  <pageSetup scale="75" orientation="portrait" r:id="rId1"/>
</worksheet>
</file>

<file path=xl/worksheets/sheet32.xml><?xml version="1.0" encoding="utf-8"?>
<worksheet xmlns="http://schemas.openxmlformats.org/spreadsheetml/2006/main" xmlns:r="http://schemas.openxmlformats.org/officeDocument/2006/relationships">
  <sheetPr>
    <tabColor theme="2" tint="-0.499984740745262"/>
  </sheetPr>
  <dimension ref="A1:T156"/>
  <sheetViews>
    <sheetView topLeftCell="C2" zoomScaleNormal="100" workbookViewId="0">
      <selection activeCell="D3" sqref="D3"/>
    </sheetView>
  </sheetViews>
  <sheetFormatPr defaultRowHeight="12.75" outlineLevelRow="1" outlineLevelCol="1"/>
  <cols>
    <col min="1" max="1" width="14.7109375" style="874" hidden="1" customWidth="1" outlineLevel="1"/>
    <col min="2" max="2" width="4.140625" style="874" hidden="1" customWidth="1" outlineLevel="1"/>
    <col min="3" max="3" width="10.5703125" style="880" customWidth="1" collapsed="1"/>
    <col min="4" max="4" width="16.42578125" style="880" customWidth="1"/>
    <col min="5" max="5" width="14.28515625" style="880" customWidth="1"/>
    <col min="6" max="6" width="12.85546875" style="880" customWidth="1"/>
    <col min="7" max="7" width="13" style="880" customWidth="1"/>
    <col min="8" max="8" width="13.42578125" style="880" customWidth="1"/>
    <col min="9" max="9" width="13.85546875" style="880" customWidth="1"/>
    <col min="10" max="10" width="12.42578125" style="880" customWidth="1"/>
    <col min="11" max="11" width="15.140625" style="881" customWidth="1"/>
    <col min="12" max="12" width="14.140625" style="882" customWidth="1"/>
    <col min="13" max="13" width="19.7109375" style="880" customWidth="1"/>
    <col min="14" max="15" width="13.7109375" style="880" customWidth="1"/>
    <col min="16" max="16" width="11.85546875" style="880" customWidth="1"/>
    <col min="17" max="17" width="14.42578125" style="880" customWidth="1"/>
    <col min="18" max="18" width="13.5703125" style="880" customWidth="1"/>
    <col min="19" max="19" width="13.140625" style="880" customWidth="1"/>
    <col min="20" max="25" width="12.28515625" style="880" customWidth="1"/>
    <col min="26" max="26" width="9.140625" style="880"/>
    <col min="27" max="28" width="13" style="880" customWidth="1"/>
    <col min="29" max="29" width="12.42578125" style="880" customWidth="1"/>
    <col min="30" max="31" width="9.140625" style="880"/>
    <col min="32" max="32" width="12.7109375" style="880" customWidth="1"/>
    <col min="33" max="33" width="11.42578125" style="880" customWidth="1"/>
    <col min="34" max="34" width="16" style="880" customWidth="1"/>
    <col min="35" max="35" width="13.5703125" style="880" customWidth="1"/>
    <col min="36" max="36" width="12.28515625" style="880" customWidth="1"/>
    <col min="37" max="37" width="13" style="880" customWidth="1"/>
    <col min="38" max="38" width="9.140625" style="880"/>
    <col min="39" max="39" width="12.28515625" style="880" customWidth="1"/>
    <col min="40" max="40" width="13.28515625" style="880" customWidth="1"/>
    <col min="41" max="41" width="11.28515625" style="880" customWidth="1"/>
    <col min="42" max="16384" width="9.140625" style="880"/>
  </cols>
  <sheetData>
    <row r="1" spans="1:16" s="874" customFormat="1" hidden="1" outlineLevel="1">
      <c r="A1" s="870"/>
      <c r="B1" s="870"/>
      <c r="C1" s="870"/>
      <c r="D1" s="870"/>
      <c r="E1" s="871">
        <v>4</v>
      </c>
      <c r="F1" s="871">
        <v>4</v>
      </c>
      <c r="G1" s="871">
        <v>3</v>
      </c>
      <c r="H1" s="871">
        <v>1</v>
      </c>
      <c r="I1" s="871">
        <v>4</v>
      </c>
      <c r="J1" s="871">
        <v>6</v>
      </c>
      <c r="K1" s="871">
        <v>5</v>
      </c>
      <c r="L1" s="870"/>
      <c r="M1" s="872"/>
      <c r="N1" s="870"/>
      <c r="O1" s="873"/>
      <c r="P1" s="870"/>
    </row>
    <row r="2" spans="1:16" s="878" customFormat="1" collapsed="1">
      <c r="A2" s="870"/>
      <c r="B2" s="870"/>
      <c r="C2" s="826" t="s">
        <v>91</v>
      </c>
      <c r="D2" s="126" t="str">
        <f>'ORTP Summary'!C1</f>
        <v>ISO-NE ORTP 2013 Study</v>
      </c>
      <c r="E2" s="875"/>
      <c r="F2" s="875"/>
      <c r="G2" s="875"/>
      <c r="H2" s="875"/>
      <c r="I2" s="875"/>
      <c r="J2" s="875"/>
      <c r="K2" s="875"/>
      <c r="L2" s="876"/>
      <c r="M2" s="877"/>
      <c r="N2" s="876"/>
      <c r="O2" s="876"/>
      <c r="P2" s="876"/>
    </row>
    <row r="3" spans="1:16" s="878" customFormat="1">
      <c r="A3" s="870"/>
      <c r="B3" s="870"/>
      <c r="C3" s="826" t="s">
        <v>92</v>
      </c>
      <c r="D3" s="830" t="s">
        <v>113</v>
      </c>
      <c r="E3" s="875"/>
      <c r="F3" s="875"/>
      <c r="G3" s="875"/>
      <c r="H3" s="875"/>
      <c r="I3" s="875"/>
      <c r="J3" s="875"/>
      <c r="K3" s="875"/>
      <c r="L3" s="876"/>
      <c r="M3" s="877"/>
      <c r="N3" s="876"/>
      <c r="O3" s="876"/>
      <c r="P3" s="876"/>
    </row>
    <row r="4" spans="1:16" s="878" customFormat="1">
      <c r="A4" s="870"/>
      <c r="B4" s="870"/>
      <c r="C4" s="826" t="s">
        <v>114</v>
      </c>
      <c r="D4" s="831" t="s">
        <v>616</v>
      </c>
      <c r="E4" s="875"/>
      <c r="F4" s="875"/>
      <c r="G4" s="875"/>
      <c r="H4" s="875"/>
      <c r="I4" s="875"/>
      <c r="J4" s="875"/>
      <c r="K4" s="875"/>
      <c r="L4" s="876"/>
      <c r="M4" s="877"/>
      <c r="N4" s="876"/>
      <c r="O4" s="876"/>
      <c r="P4" s="876"/>
    </row>
    <row r="5" spans="1:16" s="878" customFormat="1">
      <c r="A5" s="870"/>
      <c r="B5" s="870"/>
      <c r="C5" s="826" t="s">
        <v>39</v>
      </c>
      <c r="D5" s="879" t="s">
        <v>617</v>
      </c>
      <c r="E5" s="875"/>
      <c r="F5" s="875"/>
      <c r="G5" s="875"/>
      <c r="H5" s="875"/>
      <c r="I5" s="875"/>
      <c r="J5" s="875"/>
      <c r="K5" s="875"/>
      <c r="L5" s="876"/>
      <c r="M5" s="877"/>
      <c r="N5" s="876"/>
      <c r="O5" s="876"/>
      <c r="P5" s="876"/>
    </row>
    <row r="6" spans="1:16">
      <c r="D6" s="879" t="s">
        <v>618</v>
      </c>
    </row>
    <row r="7" spans="1:16" ht="13.5" thickBot="1"/>
    <row r="8" spans="1:16">
      <c r="C8" s="883"/>
      <c r="D8" s="884" t="s">
        <v>619</v>
      </c>
      <c r="E8" s="885"/>
      <c r="F8" s="886"/>
      <c r="G8" s="886"/>
      <c r="H8" s="886"/>
      <c r="I8" s="886"/>
      <c r="J8" s="886"/>
      <c r="K8" s="887"/>
      <c r="L8" s="886"/>
      <c r="M8" s="888"/>
      <c r="N8" s="886"/>
      <c r="O8" s="889"/>
      <c r="P8" s="890"/>
    </row>
    <row r="9" spans="1:16" ht="38.25">
      <c r="A9" s="870"/>
      <c r="B9" s="870"/>
      <c r="C9" s="891"/>
      <c r="D9" s="892"/>
      <c r="E9" s="893" t="s">
        <v>620</v>
      </c>
      <c r="F9" s="893" t="s">
        <v>621</v>
      </c>
      <c r="G9" s="893" t="s">
        <v>622</v>
      </c>
      <c r="H9" s="893" t="s">
        <v>623</v>
      </c>
      <c r="I9" s="893" t="s">
        <v>600</v>
      </c>
      <c r="J9" s="893" t="s">
        <v>624</v>
      </c>
      <c r="K9" s="894" t="s">
        <v>625</v>
      </c>
      <c r="L9" s="895" t="s">
        <v>626</v>
      </c>
      <c r="M9" s="896" t="s">
        <v>627</v>
      </c>
      <c r="N9" s="897" t="s">
        <v>628</v>
      </c>
      <c r="O9" s="898" t="s">
        <v>629</v>
      </c>
      <c r="P9" s="891"/>
    </row>
    <row r="10" spans="1:16" ht="25.5">
      <c r="A10" s="870"/>
      <c r="B10" s="870">
        <v>1</v>
      </c>
      <c r="C10" s="891"/>
      <c r="D10" s="899" t="s">
        <v>466</v>
      </c>
      <c r="E10" s="900">
        <v>57130</v>
      </c>
      <c r="F10" s="901">
        <v>19792</v>
      </c>
      <c r="G10" s="901">
        <v>985439</v>
      </c>
      <c r="H10" s="901">
        <v>161871</v>
      </c>
      <c r="I10" s="901">
        <v>8892</v>
      </c>
      <c r="J10" s="901">
        <v>26052</v>
      </c>
      <c r="K10" s="901">
        <f>SUM(K11:K14)</f>
        <v>380500</v>
      </c>
      <c r="L10" s="902">
        <f>SUM(L11:L14)</f>
        <v>13575.8</v>
      </c>
      <c r="M10" s="903">
        <f>SUM(M11:M14)</f>
        <v>846.5</v>
      </c>
      <c r="N10" s="904">
        <f>SUM(N11:N14)/1000</f>
        <v>0.12379999999999999</v>
      </c>
      <c r="O10" s="905">
        <v>497</v>
      </c>
      <c r="P10" s="906"/>
    </row>
    <row r="11" spans="1:16">
      <c r="A11" s="870"/>
      <c r="B11" s="870">
        <v>1</v>
      </c>
      <c r="C11" s="891"/>
      <c r="D11" s="907" t="s">
        <v>630</v>
      </c>
      <c r="E11" s="908">
        <v>6412</v>
      </c>
      <c r="F11" s="908">
        <v>8947</v>
      </c>
      <c r="G11" s="908">
        <v>53632</v>
      </c>
      <c r="H11" s="908">
        <v>2123</v>
      </c>
      <c r="I11" s="908">
        <v>218</v>
      </c>
      <c r="J11" s="908">
        <v>194</v>
      </c>
      <c r="K11" s="908"/>
      <c r="L11" s="909">
        <f>INDEX($A$69:$K$176,MATCH($D11&amp;$B11,$A$69:$A$176,0),MATCH(L$9,$A$70:$K$70,0))</f>
        <v>1501</v>
      </c>
      <c r="M11" s="909">
        <f>INDEX($A$69:$K$176,MATCH($D11&amp;$B11,$A$69:$A$176,0),MATCH(M$9,$A$70:$K$70,0))</f>
        <v>154</v>
      </c>
      <c r="N11" s="909">
        <f>INDEX($A$69:$K$176,MATCH($D11&amp;$B11,$A$69:$A$176,0),MATCH(N$9,$A$70:$K$70,0))</f>
        <v>21</v>
      </c>
      <c r="O11" s="909">
        <f>INDEX($A$69:$K$176,MATCH($D11&amp;$B11,$A$69:$A$176,0),MATCH(O$9,$A$70:$K$70,0))</f>
        <v>50</v>
      </c>
      <c r="P11" s="891"/>
    </row>
    <row r="12" spans="1:16">
      <c r="A12" s="870"/>
      <c r="B12" s="870">
        <v>1</v>
      </c>
      <c r="C12" s="891"/>
      <c r="D12" s="907" t="s">
        <v>631</v>
      </c>
      <c r="E12" s="908">
        <v>10363</v>
      </c>
      <c r="F12" s="910">
        <v>9551</v>
      </c>
      <c r="G12" s="910">
        <v>115637</v>
      </c>
      <c r="H12" s="910">
        <v>32121</v>
      </c>
      <c r="I12" s="910">
        <v>193</v>
      </c>
      <c r="J12" s="910">
        <v>2140</v>
      </c>
      <c r="K12" s="908">
        <v>69400</v>
      </c>
      <c r="L12" s="909">
        <f t="shared" ref="L12:O14" si="0">INDEX($A$69:$K$176,MATCH($D12&amp;$B12,$A$69:$A$176,0),MATCH(L$9,$A$70:$K$70,0))</f>
        <v>863.4</v>
      </c>
      <c r="M12" s="909">
        <f t="shared" si="0"/>
        <v>49.8</v>
      </c>
      <c r="N12" s="909">
        <f t="shared" si="0"/>
        <v>14.1</v>
      </c>
      <c r="O12" s="909">
        <f t="shared" si="0"/>
        <v>40</v>
      </c>
      <c r="P12" s="891"/>
    </row>
    <row r="13" spans="1:16">
      <c r="A13" s="870"/>
      <c r="B13" s="870">
        <v>1</v>
      </c>
      <c r="C13" s="891"/>
      <c r="D13" s="907" t="s">
        <v>632</v>
      </c>
      <c r="E13" s="908">
        <v>32418</v>
      </c>
      <c r="F13" s="908">
        <v>900</v>
      </c>
      <c r="G13" s="908">
        <v>779241</v>
      </c>
      <c r="H13" s="908">
        <v>90516</v>
      </c>
      <c r="I13" s="908">
        <v>6887</v>
      </c>
      <c r="J13" s="908">
        <v>17963</v>
      </c>
      <c r="K13" s="908">
        <v>257700</v>
      </c>
      <c r="L13" s="909">
        <f t="shared" si="0"/>
        <v>9809.4</v>
      </c>
      <c r="M13" s="909">
        <f t="shared" si="0"/>
        <v>570.70000000000005</v>
      </c>
      <c r="N13" s="909">
        <f t="shared" si="0"/>
        <v>84.5</v>
      </c>
      <c r="O13" s="909">
        <f t="shared" si="0"/>
        <v>384</v>
      </c>
      <c r="P13" s="891"/>
    </row>
    <row r="14" spans="1:16">
      <c r="A14" s="870"/>
      <c r="B14" s="870">
        <v>1</v>
      </c>
      <c r="C14" s="891"/>
      <c r="D14" s="907" t="s">
        <v>633</v>
      </c>
      <c r="E14" s="908">
        <v>7937</v>
      </c>
      <c r="F14" s="908">
        <v>395</v>
      </c>
      <c r="G14" s="908">
        <v>36929</v>
      </c>
      <c r="H14" s="908">
        <v>37113</v>
      </c>
      <c r="I14" s="908">
        <v>1595</v>
      </c>
      <c r="J14" s="908">
        <v>5755</v>
      </c>
      <c r="K14" s="908">
        <v>53400</v>
      </c>
      <c r="L14" s="909">
        <f t="shared" si="0"/>
        <v>1402</v>
      </c>
      <c r="M14" s="909">
        <f t="shared" si="0"/>
        <v>72</v>
      </c>
      <c r="N14" s="909">
        <f t="shared" si="0"/>
        <v>4.2</v>
      </c>
      <c r="O14" s="909">
        <f t="shared" si="0"/>
        <v>36</v>
      </c>
      <c r="P14" s="891"/>
    </row>
    <row r="15" spans="1:16">
      <c r="A15" s="870"/>
      <c r="B15" s="870"/>
      <c r="C15" s="891"/>
      <c r="D15" s="911"/>
      <c r="E15" s="912"/>
      <c r="F15" s="891"/>
      <c r="G15" s="891"/>
      <c r="H15" s="891"/>
      <c r="I15" s="891"/>
      <c r="J15" s="891"/>
      <c r="K15" s="908"/>
      <c r="L15" s="913"/>
      <c r="M15" s="914"/>
      <c r="N15" s="915"/>
      <c r="O15" s="916"/>
      <c r="P15" s="891"/>
    </row>
    <row r="16" spans="1:16" ht="25.5">
      <c r="A16" s="870"/>
      <c r="B16" s="870"/>
      <c r="C16" s="891"/>
      <c r="D16" s="892"/>
      <c r="E16" s="893" t="s">
        <v>620</v>
      </c>
      <c r="F16" s="893" t="s">
        <v>621</v>
      </c>
      <c r="G16" s="893" t="s">
        <v>622</v>
      </c>
      <c r="H16" s="893" t="s">
        <v>623</v>
      </c>
      <c r="I16" s="893" t="s">
        <v>600</v>
      </c>
      <c r="J16" s="893" t="s">
        <v>624</v>
      </c>
      <c r="K16" s="908"/>
      <c r="L16" s="917"/>
      <c r="M16" s="914"/>
      <c r="N16" s="915"/>
      <c r="O16" s="916"/>
      <c r="P16" s="891"/>
    </row>
    <row r="17" spans="1:16" ht="25.5">
      <c r="A17" s="870"/>
      <c r="B17" s="870">
        <v>2</v>
      </c>
      <c r="C17" s="891"/>
      <c r="D17" s="899" t="s">
        <v>472</v>
      </c>
      <c r="E17" s="901">
        <v>95853</v>
      </c>
      <c r="F17" s="901">
        <v>7548</v>
      </c>
      <c r="G17" s="901">
        <v>1195715</v>
      </c>
      <c r="H17" s="901">
        <v>409605</v>
      </c>
      <c r="I17" s="901">
        <v>18580</v>
      </c>
      <c r="J17" s="901">
        <v>44880</v>
      </c>
      <c r="K17" s="901">
        <f>SUM(K18:K21)</f>
        <v>481300</v>
      </c>
      <c r="L17" s="902">
        <f>SUM(L18:L21)</f>
        <v>10698.2</v>
      </c>
      <c r="M17" s="903">
        <f>SUM(M18:M21)</f>
        <v>960.8</v>
      </c>
      <c r="N17" s="904">
        <f>SUM(N18:N21)/1000</f>
        <v>0.1721</v>
      </c>
      <c r="O17" s="905">
        <f>SUM(O18:O21)</f>
        <v>1236</v>
      </c>
      <c r="P17" s="891"/>
    </row>
    <row r="18" spans="1:16">
      <c r="A18" s="870"/>
      <c r="B18" s="870">
        <v>2</v>
      </c>
      <c r="C18" s="891"/>
      <c r="D18" s="907" t="s">
        <v>630</v>
      </c>
      <c r="E18" s="908">
        <v>16202</v>
      </c>
      <c r="F18" s="908">
        <v>3538</v>
      </c>
      <c r="G18" s="908">
        <v>112803</v>
      </c>
      <c r="H18" s="908">
        <v>6081</v>
      </c>
      <c r="I18" s="908">
        <v>1486</v>
      </c>
      <c r="J18" s="908">
        <v>2996</v>
      </c>
      <c r="K18" s="918">
        <v>5400</v>
      </c>
      <c r="L18" s="909">
        <f>INDEX($A$69:$K$176,MATCH($D18&amp;$B18,$A$69:$A$176,0),MATCH(L$9,$A$70:$K$70,0))</f>
        <v>2894</v>
      </c>
      <c r="M18" s="909">
        <f>INDEX($A$69:$K$176,MATCH($D18&amp;$B18,$A$69:$A$176,0),MATCH(M$9,$A$70:$K$70,0))</f>
        <v>198</v>
      </c>
      <c r="N18" s="909">
        <f>INDEX($A$69:$K$176,MATCH($D18&amp;$B18,$A$69:$A$176,0),MATCH(N$9,$A$70:$K$70,0))</f>
        <v>10</v>
      </c>
      <c r="O18" s="909">
        <f>INDEX($A$69:$K$176,MATCH($D18&amp;$B18,$A$69:$A$176,0),MATCH(O$9,$A$70:$K$70,0))</f>
        <v>110</v>
      </c>
      <c r="P18" s="891"/>
    </row>
    <row r="19" spans="1:16">
      <c r="A19" s="870"/>
      <c r="B19" s="870">
        <v>2</v>
      </c>
      <c r="C19" s="891"/>
      <c r="D19" s="907" t="s">
        <v>631</v>
      </c>
      <c r="E19" s="908">
        <v>3359</v>
      </c>
      <c r="F19" s="908">
        <v>2048</v>
      </c>
      <c r="G19" s="908">
        <v>27522</v>
      </c>
      <c r="H19" s="908">
        <v>19623</v>
      </c>
      <c r="I19" s="908">
        <v>1338</v>
      </c>
      <c r="J19" s="908">
        <v>2947</v>
      </c>
      <c r="K19" s="908">
        <v>21200</v>
      </c>
      <c r="L19" s="909">
        <f t="shared" ref="L19:O21" si="1">INDEX($A$69:$K$176,MATCH($D19&amp;$B19,$A$69:$A$176,0),MATCH(L$9,$A$70:$K$70,0))</f>
        <v>2588.8000000000002</v>
      </c>
      <c r="M19" s="909">
        <f t="shared" si="1"/>
        <v>237.5</v>
      </c>
      <c r="N19" s="909">
        <f t="shared" si="1"/>
        <v>136.19999999999999</v>
      </c>
      <c r="O19" s="909">
        <f t="shared" si="1"/>
        <v>42</v>
      </c>
      <c r="P19" s="891"/>
    </row>
    <row r="20" spans="1:16">
      <c r="A20" s="870"/>
      <c r="B20" s="870">
        <v>2</v>
      </c>
      <c r="C20" s="891"/>
      <c r="D20" s="907" t="s">
        <v>632</v>
      </c>
      <c r="E20" s="908">
        <v>59173</v>
      </c>
      <c r="F20" s="891"/>
      <c r="G20" s="908">
        <v>938325</v>
      </c>
      <c r="H20" s="908">
        <v>300998</v>
      </c>
      <c r="I20" s="908">
        <v>11434</v>
      </c>
      <c r="J20" s="908">
        <v>33515</v>
      </c>
      <c r="K20" s="908">
        <v>412800</v>
      </c>
      <c r="L20" s="909">
        <f t="shared" si="1"/>
        <v>4719.3999999999996</v>
      </c>
      <c r="M20" s="909">
        <f t="shared" si="1"/>
        <v>490.3</v>
      </c>
      <c r="N20" s="909">
        <f t="shared" si="1"/>
        <v>24.9</v>
      </c>
      <c r="O20" s="909">
        <f t="shared" si="1"/>
        <v>1019</v>
      </c>
      <c r="P20" s="891"/>
    </row>
    <row r="21" spans="1:16">
      <c r="A21" s="870"/>
      <c r="B21" s="870">
        <v>2</v>
      </c>
      <c r="C21" s="891"/>
      <c r="D21" s="907" t="s">
        <v>633</v>
      </c>
      <c r="E21" s="908">
        <v>17119</v>
      </c>
      <c r="F21" s="908">
        <v>1962</v>
      </c>
      <c r="G21" s="908">
        <v>117065</v>
      </c>
      <c r="H21" s="908">
        <v>82903</v>
      </c>
      <c r="I21" s="908">
        <v>4322</v>
      </c>
      <c r="J21" s="908">
        <v>5421</v>
      </c>
      <c r="K21" s="908">
        <v>41900</v>
      </c>
      <c r="L21" s="909">
        <f t="shared" si="1"/>
        <v>496</v>
      </c>
      <c r="M21" s="909">
        <f t="shared" si="1"/>
        <v>35</v>
      </c>
      <c r="N21" s="909">
        <f t="shared" si="1"/>
        <v>1</v>
      </c>
      <c r="O21" s="909">
        <f t="shared" si="1"/>
        <v>65</v>
      </c>
      <c r="P21" s="891"/>
    </row>
    <row r="22" spans="1:16">
      <c r="A22" s="870"/>
      <c r="B22" s="870"/>
      <c r="C22" s="891"/>
      <c r="D22" s="911"/>
      <c r="E22" s="912"/>
      <c r="F22" s="891"/>
      <c r="G22" s="891"/>
      <c r="H22" s="891"/>
      <c r="I22" s="891"/>
      <c r="J22" s="891"/>
      <c r="K22" s="908"/>
      <c r="L22" s="913"/>
      <c r="M22" s="914"/>
      <c r="N22" s="915"/>
      <c r="O22" s="916"/>
      <c r="P22" s="891"/>
    </row>
    <row r="23" spans="1:16" ht="25.5">
      <c r="A23" s="870"/>
      <c r="B23" s="870"/>
      <c r="C23" s="891"/>
      <c r="D23" s="892"/>
      <c r="E23" s="893" t="s">
        <v>620</v>
      </c>
      <c r="F23" s="893" t="s">
        <v>621</v>
      </c>
      <c r="G23" s="893" t="s">
        <v>622</v>
      </c>
      <c r="H23" s="893" t="s">
        <v>623</v>
      </c>
      <c r="I23" s="893" t="s">
        <v>600</v>
      </c>
      <c r="J23" s="893" t="s">
        <v>624</v>
      </c>
      <c r="K23" s="908"/>
      <c r="L23" s="919"/>
      <c r="M23" s="914"/>
      <c r="N23" s="915"/>
      <c r="O23" s="916"/>
      <c r="P23" s="891"/>
    </row>
    <row r="24" spans="1:16" ht="25.5">
      <c r="A24" s="870"/>
      <c r="B24" s="870">
        <v>3</v>
      </c>
      <c r="C24" s="891"/>
      <c r="D24" s="899" t="s">
        <v>478</v>
      </c>
      <c r="E24" s="901">
        <v>41183</v>
      </c>
      <c r="F24" s="901">
        <v>21241</v>
      </c>
      <c r="G24" s="901">
        <v>848015</v>
      </c>
      <c r="H24" s="901">
        <v>109525</v>
      </c>
      <c r="I24" s="901">
        <v>21016</v>
      </c>
      <c r="J24" s="901">
        <v>14098</v>
      </c>
      <c r="K24" s="901">
        <f>SUM(K25:K28)</f>
        <v>1186500</v>
      </c>
      <c r="L24" s="902">
        <f>SUM(L25:L28)</f>
        <v>28834.199999999997</v>
      </c>
      <c r="M24" s="903">
        <f>SUM(M25:M28)</f>
        <v>2813.4</v>
      </c>
      <c r="N24" s="904">
        <f>SUM(N25:N28)/1000</f>
        <v>0.38569999999999999</v>
      </c>
      <c r="O24" s="905">
        <f>SUM(O25:O28)</f>
        <v>18111</v>
      </c>
      <c r="P24" s="891"/>
    </row>
    <row r="25" spans="1:16">
      <c r="A25" s="870"/>
      <c r="B25" s="870">
        <v>3</v>
      </c>
      <c r="C25" s="891"/>
      <c r="D25" s="907" t="s">
        <v>630</v>
      </c>
      <c r="E25" s="908">
        <v>2345</v>
      </c>
      <c r="F25" s="908">
        <v>9930</v>
      </c>
      <c r="G25" s="908">
        <v>36780</v>
      </c>
      <c r="H25" s="908">
        <v>1143</v>
      </c>
      <c r="I25" s="908">
        <v>2741</v>
      </c>
      <c r="J25" s="908">
        <v>86</v>
      </c>
      <c r="K25" s="918">
        <v>51300</v>
      </c>
      <c r="L25" s="909">
        <f>INDEX($A$69:$K$176,MATCH($D25&amp;$B25,$A$69:$A$176,0),MATCH(L$9,$A$70:$K$70,0))</f>
        <v>1207</v>
      </c>
      <c r="M25" s="909">
        <f>INDEX($A$69:$K$176,MATCH($D25&amp;$B25,$A$69:$A$176,0),MATCH(M$9,$A$70:$K$70,0))</f>
        <v>119</v>
      </c>
      <c r="N25" s="909">
        <f>INDEX($A$69:$K$176,MATCH($D25&amp;$B25,$A$69:$A$176,0),MATCH(N$9,$A$70:$K$70,0))</f>
        <v>17</v>
      </c>
      <c r="O25" s="909">
        <f>INDEX($A$69:$K$176,MATCH($D25&amp;$B25,$A$69:$A$176,0),MATCH(O$9,$A$70:$K$70,0))</f>
        <v>875</v>
      </c>
      <c r="P25" s="891"/>
    </row>
    <row r="26" spans="1:16">
      <c r="A26" s="870"/>
      <c r="B26" s="870">
        <v>3</v>
      </c>
      <c r="C26" s="891"/>
      <c r="D26" s="907" t="s">
        <v>631</v>
      </c>
      <c r="E26" s="908">
        <v>8471</v>
      </c>
      <c r="F26" s="908">
        <v>7807</v>
      </c>
      <c r="G26" s="908">
        <v>102124</v>
      </c>
      <c r="H26" s="908">
        <v>14241</v>
      </c>
      <c r="I26" s="908">
        <v>1398</v>
      </c>
      <c r="J26" s="908">
        <v>1053</v>
      </c>
      <c r="K26" s="908">
        <v>127700</v>
      </c>
      <c r="L26" s="909">
        <f t="shared" ref="L26:O28" si="2">INDEX($A$69:$K$176,MATCH($D26&amp;$B26,$A$69:$A$176,0),MATCH(L$9,$A$70:$K$70,0))</f>
        <v>3547.6</v>
      </c>
      <c r="M26" s="909">
        <f t="shared" si="2"/>
        <v>347.9</v>
      </c>
      <c r="N26" s="909">
        <f t="shared" si="2"/>
        <v>43</v>
      </c>
      <c r="O26" s="909">
        <f t="shared" si="2"/>
        <v>1848</v>
      </c>
      <c r="P26" s="891"/>
    </row>
    <row r="27" spans="1:16">
      <c r="A27" s="870"/>
      <c r="B27" s="870">
        <v>3</v>
      </c>
      <c r="C27" s="891"/>
      <c r="D27" s="907" t="s">
        <v>632</v>
      </c>
      <c r="E27" s="908">
        <v>24654</v>
      </c>
      <c r="F27" s="891"/>
      <c r="G27" s="908">
        <v>638779</v>
      </c>
      <c r="H27" s="908">
        <v>36423</v>
      </c>
      <c r="I27" s="908">
        <v>13183</v>
      </c>
      <c r="J27" s="908">
        <v>9847</v>
      </c>
      <c r="K27" s="908">
        <v>825900</v>
      </c>
      <c r="L27" s="909">
        <f t="shared" si="2"/>
        <v>20646.599999999999</v>
      </c>
      <c r="M27" s="909">
        <f t="shared" si="2"/>
        <v>2013.5</v>
      </c>
      <c r="N27" s="909">
        <f t="shared" si="2"/>
        <v>269.3</v>
      </c>
      <c r="O27" s="909">
        <f t="shared" si="2"/>
        <v>13766</v>
      </c>
      <c r="P27" s="891"/>
    </row>
    <row r="28" spans="1:16">
      <c r="A28" s="870"/>
      <c r="B28" s="870">
        <v>3</v>
      </c>
      <c r="C28" s="891"/>
      <c r="D28" s="907" t="s">
        <v>633</v>
      </c>
      <c r="E28" s="908">
        <v>5714</v>
      </c>
      <c r="F28" s="908">
        <v>3505</v>
      </c>
      <c r="G28" s="908">
        <v>70332</v>
      </c>
      <c r="H28" s="908">
        <v>57718</v>
      </c>
      <c r="I28" s="908">
        <v>3694</v>
      </c>
      <c r="J28" s="908">
        <v>3112</v>
      </c>
      <c r="K28" s="908">
        <v>181600</v>
      </c>
      <c r="L28" s="909">
        <f t="shared" si="2"/>
        <v>3433</v>
      </c>
      <c r="M28" s="909">
        <f t="shared" si="2"/>
        <v>333</v>
      </c>
      <c r="N28" s="909">
        <f t="shared" si="2"/>
        <v>56.4</v>
      </c>
      <c r="O28" s="909">
        <f t="shared" si="2"/>
        <v>1622</v>
      </c>
      <c r="P28" s="891"/>
    </row>
    <row r="29" spans="1:16">
      <c r="A29" s="870"/>
      <c r="B29" s="870"/>
      <c r="C29" s="891"/>
      <c r="D29" s="911"/>
      <c r="E29" s="912"/>
      <c r="F29" s="891"/>
      <c r="G29" s="891"/>
      <c r="H29" s="891"/>
      <c r="I29" s="891"/>
      <c r="J29" s="891"/>
      <c r="K29" s="908"/>
      <c r="L29" s="913"/>
      <c r="M29" s="914"/>
      <c r="N29" s="915"/>
      <c r="O29" s="916"/>
      <c r="P29" s="891"/>
    </row>
    <row r="30" spans="1:16" ht="25.5">
      <c r="A30" s="870"/>
      <c r="B30" s="870"/>
      <c r="C30" s="891"/>
      <c r="D30" s="892"/>
      <c r="E30" s="893" t="s">
        <v>620</v>
      </c>
      <c r="F30" s="893" t="s">
        <v>621</v>
      </c>
      <c r="G30" s="893" t="s">
        <v>622</v>
      </c>
      <c r="H30" s="893" t="s">
        <v>623</v>
      </c>
      <c r="I30" s="893" t="s">
        <v>600</v>
      </c>
      <c r="J30" s="893" t="s">
        <v>624</v>
      </c>
      <c r="K30" s="908"/>
      <c r="L30" s="919"/>
      <c r="M30" s="914"/>
      <c r="N30" s="915"/>
      <c r="O30" s="916"/>
      <c r="P30" s="891"/>
    </row>
    <row r="31" spans="1:16" ht="25.5">
      <c r="A31" s="870"/>
      <c r="B31" s="870">
        <v>4</v>
      </c>
      <c r="C31" s="891"/>
      <c r="D31" s="899" t="s">
        <v>516</v>
      </c>
      <c r="E31" s="901">
        <v>107697</v>
      </c>
      <c r="F31" s="901">
        <v>24831</v>
      </c>
      <c r="G31" s="901">
        <v>2543843</v>
      </c>
      <c r="H31" s="901">
        <v>218107</v>
      </c>
      <c r="I31" s="901">
        <v>2532</v>
      </c>
      <c r="J31" s="901">
        <v>27815</v>
      </c>
      <c r="K31" s="901">
        <f>SUM(K32:K35)</f>
        <v>1895200</v>
      </c>
      <c r="L31" s="902">
        <f>SUM(L32:L35)</f>
        <v>20168.400000000001</v>
      </c>
      <c r="M31" s="903">
        <f>SUM(M32:M35)</f>
        <v>1359.8</v>
      </c>
      <c r="N31" s="904">
        <f>SUM(N32:N35)/1000</f>
        <v>5.6100000000000011E-2</v>
      </c>
      <c r="O31" s="905">
        <f>SUM(O32:O35)</f>
        <v>933</v>
      </c>
      <c r="P31" s="891"/>
    </row>
    <row r="32" spans="1:16">
      <c r="A32" s="870"/>
      <c r="B32" s="870">
        <v>4</v>
      </c>
      <c r="C32" s="891"/>
      <c r="D32" s="907" t="s">
        <v>630</v>
      </c>
      <c r="E32" s="908">
        <v>11865</v>
      </c>
      <c r="F32" s="908">
        <v>7282</v>
      </c>
      <c r="G32" s="908">
        <v>246369</v>
      </c>
      <c r="H32" s="908">
        <v>716</v>
      </c>
      <c r="I32" s="908">
        <v>451</v>
      </c>
      <c r="J32" s="908">
        <v>243</v>
      </c>
      <c r="K32" s="908"/>
      <c r="L32" s="909">
        <f>INDEX($A$69:$K$176,MATCH($D32&amp;$B32,$A$69:$A$176,0),MATCH(L$9,$A$70:$K$70,0))</f>
        <v>1324</v>
      </c>
      <c r="M32" s="909">
        <f>INDEX($A$69:$K$176,MATCH($D32&amp;$B32,$A$69:$A$176,0),MATCH(M$9,$A$70:$K$70,0))</f>
        <v>88</v>
      </c>
      <c r="N32" s="909">
        <f>INDEX($A$69:$K$176,MATCH($D32&amp;$B32,$A$69:$A$176,0),MATCH(N$9,$A$70:$K$70,0))</f>
        <v>9</v>
      </c>
      <c r="O32" s="909">
        <f>INDEX($A$69:$K$176,MATCH($D32&amp;$B32,$A$69:$A$176,0),MATCH(O$9,$A$70:$K$70,0))</f>
        <v>54</v>
      </c>
      <c r="P32" s="891"/>
    </row>
    <row r="33" spans="1:16">
      <c r="A33" s="870"/>
      <c r="B33" s="870">
        <v>4</v>
      </c>
      <c r="C33" s="891"/>
      <c r="D33" s="907" t="s">
        <v>631</v>
      </c>
      <c r="E33" s="908">
        <v>16273</v>
      </c>
      <c r="F33" s="908">
        <v>14997</v>
      </c>
      <c r="G33" s="908">
        <v>193222</v>
      </c>
      <c r="H33" s="908">
        <v>31890</v>
      </c>
      <c r="I33" s="908">
        <v>302</v>
      </c>
      <c r="J33" s="908">
        <v>4553</v>
      </c>
      <c r="K33" s="908"/>
      <c r="L33" s="909">
        <f t="shared" ref="L33:O35" si="3">INDEX($A$69:$K$176,MATCH($D33&amp;$B33,$A$69:$A$176,0),MATCH(L$9,$A$70:$K$70,0))</f>
        <v>879.6</v>
      </c>
      <c r="M33" s="909">
        <f t="shared" si="3"/>
        <v>71.8</v>
      </c>
      <c r="N33" s="909">
        <f t="shared" si="3"/>
        <v>24.2</v>
      </c>
      <c r="O33" s="909">
        <f t="shared" si="3"/>
        <v>61</v>
      </c>
      <c r="P33" s="891"/>
    </row>
    <row r="34" spans="1:16">
      <c r="A34" s="870"/>
      <c r="B34" s="870">
        <v>4</v>
      </c>
      <c r="C34" s="891"/>
      <c r="D34" s="907" t="s">
        <v>632</v>
      </c>
      <c r="E34" s="908">
        <v>68224</v>
      </c>
      <c r="F34" s="908"/>
      <c r="G34" s="908">
        <v>1899172</v>
      </c>
      <c r="H34" s="908">
        <v>119432</v>
      </c>
      <c r="I34" s="908" t="s">
        <v>124</v>
      </c>
      <c r="J34" s="908">
        <v>15758</v>
      </c>
      <c r="K34" s="908">
        <v>1895200</v>
      </c>
      <c r="L34" s="909">
        <f t="shared" si="3"/>
        <v>9101.7000000000007</v>
      </c>
      <c r="M34" s="909">
        <f t="shared" si="3"/>
        <v>654.79999999999995</v>
      </c>
      <c r="N34" s="909">
        <f t="shared" si="3"/>
        <v>21.7</v>
      </c>
      <c r="O34" s="909">
        <f t="shared" si="3"/>
        <v>760</v>
      </c>
      <c r="P34" s="891"/>
    </row>
    <row r="35" spans="1:16">
      <c r="A35" s="870"/>
      <c r="B35" s="870">
        <v>4</v>
      </c>
      <c r="C35" s="891"/>
      <c r="D35" s="907" t="s">
        <v>633</v>
      </c>
      <c r="E35" s="908">
        <v>11335</v>
      </c>
      <c r="F35" s="908">
        <v>2552</v>
      </c>
      <c r="G35" s="908">
        <v>205080</v>
      </c>
      <c r="H35" s="908">
        <v>66069</v>
      </c>
      <c r="I35" s="908">
        <v>1778</v>
      </c>
      <c r="J35" s="908">
        <v>7261</v>
      </c>
      <c r="K35" s="918"/>
      <c r="L35" s="909">
        <f t="shared" si="3"/>
        <v>8863.1</v>
      </c>
      <c r="M35" s="909">
        <f t="shared" si="3"/>
        <v>545.20000000000005</v>
      </c>
      <c r="N35" s="909">
        <f t="shared" si="3"/>
        <v>1.2</v>
      </c>
      <c r="O35" s="909">
        <f t="shared" si="3"/>
        <v>58</v>
      </c>
      <c r="P35" s="891"/>
    </row>
    <row r="36" spans="1:16">
      <c r="A36" s="870"/>
      <c r="B36" s="870"/>
      <c r="C36" s="891"/>
      <c r="D36" s="911"/>
      <c r="E36" s="912"/>
      <c r="F36" s="891"/>
      <c r="G36" s="891"/>
      <c r="H36" s="891"/>
      <c r="I36" s="891"/>
      <c r="J36" s="891"/>
      <c r="K36" s="908"/>
      <c r="L36" s="913"/>
      <c r="M36" s="914"/>
      <c r="N36" s="915"/>
      <c r="O36" s="916"/>
      <c r="P36" s="891"/>
    </row>
    <row r="37" spans="1:16" ht="25.5">
      <c r="A37" s="870"/>
      <c r="B37" s="870"/>
      <c r="C37" s="891"/>
      <c r="D37" s="892"/>
      <c r="E37" s="893" t="s">
        <v>620</v>
      </c>
      <c r="F37" s="893" t="s">
        <v>621</v>
      </c>
      <c r="G37" s="893" t="s">
        <v>622</v>
      </c>
      <c r="H37" s="893" t="s">
        <v>623</v>
      </c>
      <c r="I37" s="893" t="s">
        <v>600</v>
      </c>
      <c r="J37" s="893" t="s">
        <v>624</v>
      </c>
      <c r="K37" s="908"/>
      <c r="L37" s="919"/>
      <c r="M37" s="914"/>
      <c r="N37" s="915"/>
      <c r="O37" s="916"/>
      <c r="P37" s="891"/>
    </row>
    <row r="38" spans="1:16" ht="25.5">
      <c r="A38" s="870"/>
      <c r="B38" s="870">
        <v>5</v>
      </c>
      <c r="C38" s="891"/>
      <c r="D38" s="899" t="s">
        <v>460</v>
      </c>
      <c r="E38" s="901">
        <v>44318</v>
      </c>
      <c r="F38" s="901">
        <v>28920</v>
      </c>
      <c r="G38" s="901">
        <v>634378</v>
      </c>
      <c r="H38" s="901">
        <v>150607</v>
      </c>
      <c r="I38" s="901">
        <v>231005</v>
      </c>
      <c r="J38" s="901">
        <v>28121</v>
      </c>
      <c r="K38" s="901">
        <f>SUM(K39:K42)</f>
        <v>393300</v>
      </c>
      <c r="L38" s="902">
        <f>SUM(L39:L42)</f>
        <v>62427.899999999994</v>
      </c>
      <c r="M38" s="903">
        <f>SUM(M39:M42)</f>
        <v>12054</v>
      </c>
      <c r="N38" s="904">
        <f>SUM(N39:N42)/1000</f>
        <v>0.755</v>
      </c>
      <c r="O38" s="905">
        <f>SUM(O39:O42)</f>
        <v>284039</v>
      </c>
      <c r="P38" s="891"/>
    </row>
    <row r="39" spans="1:16">
      <c r="A39" s="870"/>
      <c r="B39" s="870">
        <v>5</v>
      </c>
      <c r="C39" s="891"/>
      <c r="D39" s="907" t="s">
        <v>630</v>
      </c>
      <c r="E39" s="908">
        <v>4117</v>
      </c>
      <c r="F39" s="908">
        <v>19625</v>
      </c>
      <c r="G39" s="908">
        <v>28835</v>
      </c>
      <c r="H39" s="908">
        <v>3403</v>
      </c>
      <c r="I39" s="908">
        <v>25575</v>
      </c>
      <c r="J39" s="908">
        <v>9779</v>
      </c>
      <c r="K39" s="918">
        <v>39600</v>
      </c>
      <c r="L39" s="909">
        <f>INDEX($A$69:$K$176,MATCH($D39&amp;$B39,$A$69:$A$176,0),MATCH(L$9,$A$70:$K$70,0))</f>
        <v>3207</v>
      </c>
      <c r="M39" s="909">
        <f>INDEX($A$69:$K$176,MATCH($D39&amp;$B39,$A$69:$A$176,0),MATCH(M$9,$A$70:$K$70,0))</f>
        <v>632</v>
      </c>
      <c r="N39" s="909">
        <f>INDEX($A$69:$K$176,MATCH($D39&amp;$B39,$A$69:$A$176,0),MATCH(N$9,$A$70:$K$70,0))</f>
        <v>39</v>
      </c>
      <c r="O39" s="909">
        <f>INDEX($A$69:$K$176,MATCH($D39&amp;$B39,$A$69:$A$176,0),MATCH(O$9,$A$70:$K$70,0))</f>
        <v>14507</v>
      </c>
      <c r="P39" s="891"/>
    </row>
    <row r="40" spans="1:16">
      <c r="A40" s="870"/>
      <c r="B40" s="870">
        <v>5</v>
      </c>
      <c r="C40" s="891"/>
      <c r="D40" s="907" t="s">
        <v>631</v>
      </c>
      <c r="E40" s="908">
        <v>6050</v>
      </c>
      <c r="F40" s="908">
        <v>5575</v>
      </c>
      <c r="G40" s="908">
        <v>59226</v>
      </c>
      <c r="H40" s="908">
        <v>21921</v>
      </c>
      <c r="I40" s="908">
        <v>7380</v>
      </c>
      <c r="J40" s="908">
        <v>483</v>
      </c>
      <c r="K40" s="908">
        <v>25100</v>
      </c>
      <c r="L40" s="909">
        <f t="shared" ref="L40:O42" si="4">INDEX($A$69:$K$176,MATCH($D40&amp;$B40,$A$69:$A$176,0),MATCH(L$9,$A$70:$K$70,0))</f>
        <v>8886.2000000000007</v>
      </c>
      <c r="M40" s="909">
        <f t="shared" si="4"/>
        <v>1704.7</v>
      </c>
      <c r="N40" s="909">
        <f t="shared" si="4"/>
        <v>106.9</v>
      </c>
      <c r="O40" s="909">
        <f t="shared" si="4"/>
        <v>39490</v>
      </c>
      <c r="P40" s="891"/>
    </row>
    <row r="41" spans="1:16">
      <c r="A41" s="870"/>
      <c r="B41" s="870">
        <v>5</v>
      </c>
      <c r="C41" s="891"/>
      <c r="D41" s="907" t="s">
        <v>632</v>
      </c>
      <c r="E41" s="908">
        <v>26702</v>
      </c>
      <c r="F41" s="908"/>
      <c r="G41" s="908">
        <v>498888</v>
      </c>
      <c r="H41" s="908">
        <v>58432</v>
      </c>
      <c r="I41" s="908">
        <v>181328</v>
      </c>
      <c r="J41" s="908">
        <v>11290</v>
      </c>
      <c r="K41" s="908">
        <v>287300</v>
      </c>
      <c r="L41" s="909">
        <f t="shared" si="4"/>
        <v>41315.699999999997</v>
      </c>
      <c r="M41" s="909">
        <f t="shared" si="4"/>
        <v>7917.3</v>
      </c>
      <c r="N41" s="909">
        <f t="shared" si="4"/>
        <v>493.2</v>
      </c>
      <c r="O41" s="909">
        <f t="shared" si="4"/>
        <v>186081</v>
      </c>
      <c r="P41" s="891"/>
    </row>
    <row r="42" spans="1:16">
      <c r="A42" s="870"/>
      <c r="B42" s="870">
        <v>5</v>
      </c>
      <c r="C42" s="891"/>
      <c r="D42" s="907" t="s">
        <v>633</v>
      </c>
      <c r="E42" s="908">
        <v>7449</v>
      </c>
      <c r="F42" s="908">
        <v>3720</v>
      </c>
      <c r="G42" s="908">
        <v>47429</v>
      </c>
      <c r="H42" s="908">
        <v>66851</v>
      </c>
      <c r="I42" s="908">
        <v>16722</v>
      </c>
      <c r="J42" s="908">
        <v>6569</v>
      </c>
      <c r="K42" s="908">
        <v>41300</v>
      </c>
      <c r="L42" s="909">
        <f t="shared" si="4"/>
        <v>9019</v>
      </c>
      <c r="M42" s="909">
        <f t="shared" si="4"/>
        <v>1800</v>
      </c>
      <c r="N42" s="909">
        <f t="shared" si="4"/>
        <v>115.9</v>
      </c>
      <c r="O42" s="909">
        <f t="shared" si="4"/>
        <v>43961</v>
      </c>
      <c r="P42" s="891"/>
    </row>
    <row r="43" spans="1:16">
      <c r="A43" s="870"/>
      <c r="B43" s="870"/>
      <c r="C43" s="891"/>
      <c r="D43" s="911"/>
      <c r="E43" s="912"/>
      <c r="F43" s="891"/>
      <c r="G43" s="891"/>
      <c r="H43" s="891"/>
      <c r="I43" s="891"/>
      <c r="J43" s="891"/>
      <c r="K43" s="908"/>
      <c r="L43" s="913"/>
      <c r="M43" s="914"/>
      <c r="N43" s="915"/>
      <c r="O43" s="920"/>
      <c r="P43" s="891"/>
    </row>
    <row r="44" spans="1:16">
      <c r="A44" s="870"/>
      <c r="B44" s="870"/>
      <c r="C44" s="891"/>
      <c r="D44" s="911"/>
      <c r="E44" s="912"/>
      <c r="F44" s="891"/>
      <c r="G44" s="891"/>
      <c r="H44" s="891"/>
      <c r="I44" s="891"/>
      <c r="J44" s="891"/>
      <c r="K44" s="908"/>
      <c r="L44" s="921"/>
      <c r="M44" s="914"/>
      <c r="N44" s="891"/>
      <c r="O44" s="922"/>
      <c r="P44" s="891"/>
    </row>
    <row r="45" spans="1:16" ht="25.5">
      <c r="A45" s="870"/>
      <c r="B45" s="870"/>
      <c r="C45" s="891"/>
      <c r="D45" s="892"/>
      <c r="E45" s="893" t="s">
        <v>620</v>
      </c>
      <c r="F45" s="893" t="s">
        <v>621</v>
      </c>
      <c r="G45" s="893" t="s">
        <v>622</v>
      </c>
      <c r="H45" s="893" t="s">
        <v>623</v>
      </c>
      <c r="I45" s="893" t="s">
        <v>600</v>
      </c>
      <c r="J45" s="893" t="s">
        <v>624</v>
      </c>
      <c r="K45" s="908"/>
      <c r="L45" s="917"/>
      <c r="M45" s="914"/>
      <c r="N45" s="891"/>
      <c r="O45" s="922"/>
      <c r="P45" s="891"/>
    </row>
    <row r="46" spans="1:16" ht="25.5">
      <c r="A46" s="870"/>
      <c r="B46" s="870">
        <v>6</v>
      </c>
      <c r="C46" s="891"/>
      <c r="D46" s="899" t="s">
        <v>484</v>
      </c>
      <c r="E46" s="901">
        <f t="shared" ref="E46:J46" si="5">SUM(E47:E50)</f>
        <v>94542</v>
      </c>
      <c r="F46" s="901">
        <f t="shared" si="5"/>
        <v>9166</v>
      </c>
      <c r="G46" s="901">
        <f t="shared" si="5"/>
        <v>2319846</v>
      </c>
      <c r="H46" s="901">
        <f t="shared" si="5"/>
        <v>354962</v>
      </c>
      <c r="I46" s="901">
        <f t="shared" si="5"/>
        <v>3783</v>
      </c>
      <c r="J46" s="901">
        <f t="shared" si="5"/>
        <v>96896</v>
      </c>
      <c r="K46" s="901">
        <f>SUM(K47:K50)</f>
        <v>811800</v>
      </c>
      <c r="L46" s="902">
        <f>SUM(L47:L50)</f>
        <v>95601.8</v>
      </c>
      <c r="M46" s="903">
        <f>SUM(M47:M50)</f>
        <v>6695.0999999999995</v>
      </c>
      <c r="N46" s="904">
        <f>SUM(N47:N50)/1000</f>
        <v>2.4076</v>
      </c>
      <c r="O46" s="905">
        <f>SUM(O47:O50)</f>
        <v>188</v>
      </c>
      <c r="P46" s="891"/>
    </row>
    <row r="47" spans="1:16">
      <c r="A47" s="870"/>
      <c r="B47" s="870">
        <v>6</v>
      </c>
      <c r="C47" s="891"/>
      <c r="D47" s="907" t="s">
        <v>630</v>
      </c>
      <c r="E47" s="908">
        <v>15823</v>
      </c>
      <c r="F47" s="908">
        <v>317</v>
      </c>
      <c r="G47" s="908">
        <v>342654</v>
      </c>
      <c r="H47" s="908">
        <v>16744</v>
      </c>
      <c r="I47" s="908">
        <v>749</v>
      </c>
      <c r="J47" s="908">
        <v>8186</v>
      </c>
      <c r="K47" s="918">
        <v>71100</v>
      </c>
      <c r="L47" s="909">
        <f>INDEX($A$69:$K$176,MATCH($D47&amp;$B47,$A$69:$A$176,0),MATCH(L$9,$A$70:$K$70,0))</f>
        <v>9244</v>
      </c>
      <c r="M47" s="909">
        <f>INDEX($A$69:$K$176,MATCH($D47&amp;$B47,$A$69:$A$176,0),MATCH(M$9,$A$70:$K$70,0))</f>
        <v>601</v>
      </c>
      <c r="N47" s="909">
        <f>INDEX($A$69:$K$176,MATCH($D47&amp;$B47,$A$69:$A$176,0),MATCH(N$9,$A$70:$K$70,0))</f>
        <v>145</v>
      </c>
      <c r="O47" s="909">
        <f>INDEX($A$69:$K$176,MATCH($D47&amp;$B47,$A$69:$A$176,0),MATCH(O$9,$A$70:$K$70,0))</f>
        <v>13</v>
      </c>
      <c r="P47" s="891"/>
    </row>
    <row r="48" spans="1:16">
      <c r="A48" s="870"/>
      <c r="B48" s="870">
        <v>6</v>
      </c>
      <c r="C48" s="891"/>
      <c r="D48" s="907" t="s">
        <v>631</v>
      </c>
      <c r="E48" s="908">
        <v>8951</v>
      </c>
      <c r="F48" s="908">
        <v>8249</v>
      </c>
      <c r="G48" s="908">
        <v>100759</v>
      </c>
      <c r="H48" s="908">
        <v>19830</v>
      </c>
      <c r="I48" s="908">
        <v>396</v>
      </c>
      <c r="J48" s="908">
        <v>6915</v>
      </c>
      <c r="K48" s="908">
        <v>20100</v>
      </c>
      <c r="L48" s="909">
        <f t="shared" ref="L48:O50" si="6">INDEX($A$69:$K$176,MATCH($D48&amp;$B48,$A$69:$A$176,0),MATCH(L$9,$A$70:$K$70,0))</f>
        <v>2456</v>
      </c>
      <c r="M48" s="909">
        <f t="shared" si="6"/>
        <v>163.69999999999999</v>
      </c>
      <c r="N48" s="909">
        <f t="shared" si="6"/>
        <v>23.6</v>
      </c>
      <c r="O48" s="909">
        <f t="shared" si="6"/>
        <v>5</v>
      </c>
      <c r="P48" s="891"/>
    </row>
    <row r="49" spans="1:16">
      <c r="A49" s="870"/>
      <c r="B49" s="870">
        <v>6</v>
      </c>
      <c r="C49" s="891"/>
      <c r="D49" s="907" t="s">
        <v>632</v>
      </c>
      <c r="E49" s="908">
        <v>58772</v>
      </c>
      <c r="F49" s="908"/>
      <c r="G49" s="908">
        <v>1669983</v>
      </c>
      <c r="H49" s="908">
        <v>256103</v>
      </c>
      <c r="I49" s="908">
        <v>1000</v>
      </c>
      <c r="J49" s="908">
        <v>65356</v>
      </c>
      <c r="K49" s="908">
        <v>671900</v>
      </c>
      <c r="L49" s="909">
        <f t="shared" si="6"/>
        <v>75470.8</v>
      </c>
      <c r="M49" s="909">
        <f t="shared" si="6"/>
        <v>5368.4</v>
      </c>
      <c r="N49" s="909">
        <f t="shared" si="6"/>
        <v>2083.4</v>
      </c>
      <c r="O49" s="909">
        <f t="shared" si="6"/>
        <v>157</v>
      </c>
      <c r="P49" s="891"/>
    </row>
    <row r="50" spans="1:16">
      <c r="A50" s="870"/>
      <c r="B50" s="870">
        <v>6</v>
      </c>
      <c r="C50" s="891"/>
      <c r="D50" s="907" t="s">
        <v>633</v>
      </c>
      <c r="E50" s="908">
        <v>10996</v>
      </c>
      <c r="F50" s="908">
        <v>600</v>
      </c>
      <c r="G50" s="908">
        <v>206450</v>
      </c>
      <c r="H50" s="908">
        <v>62285</v>
      </c>
      <c r="I50" s="908">
        <v>1638</v>
      </c>
      <c r="J50" s="908">
        <v>16439</v>
      </c>
      <c r="K50" s="908">
        <v>48700</v>
      </c>
      <c r="L50" s="909">
        <f t="shared" si="6"/>
        <v>8431</v>
      </c>
      <c r="M50" s="909">
        <f t="shared" si="6"/>
        <v>562</v>
      </c>
      <c r="N50" s="909">
        <f t="shared" si="6"/>
        <v>155.6</v>
      </c>
      <c r="O50" s="909">
        <f t="shared" si="6"/>
        <v>13</v>
      </c>
      <c r="P50" s="891"/>
    </row>
    <row r="51" spans="1:16">
      <c r="A51" s="870"/>
      <c r="B51" s="870"/>
      <c r="C51" s="891"/>
      <c r="D51" s="911"/>
      <c r="E51" s="912"/>
      <c r="F51" s="891"/>
      <c r="G51" s="891"/>
      <c r="H51" s="891"/>
      <c r="I51" s="891"/>
      <c r="J51" s="891"/>
      <c r="K51" s="908"/>
      <c r="L51" s="913"/>
      <c r="M51" s="914"/>
      <c r="N51" s="915"/>
      <c r="O51" s="916"/>
      <c r="P51" s="891"/>
    </row>
    <row r="52" spans="1:16" ht="25.5">
      <c r="A52" s="870"/>
      <c r="B52" s="870"/>
      <c r="C52" s="891"/>
      <c r="D52" s="892"/>
      <c r="E52" s="893" t="s">
        <v>620</v>
      </c>
      <c r="F52" s="893" t="s">
        <v>621</v>
      </c>
      <c r="G52" s="893" t="s">
        <v>622</v>
      </c>
      <c r="H52" s="893" t="s">
        <v>623</v>
      </c>
      <c r="I52" s="893" t="s">
        <v>600</v>
      </c>
      <c r="J52" s="893" t="s">
        <v>624</v>
      </c>
      <c r="K52" s="908"/>
      <c r="L52" s="919"/>
      <c r="M52" s="914"/>
      <c r="N52" s="915"/>
      <c r="O52" s="916"/>
      <c r="P52" s="891"/>
    </row>
    <row r="53" spans="1:16">
      <c r="A53" s="870"/>
      <c r="B53" s="870">
        <v>7</v>
      </c>
      <c r="C53" s="891"/>
      <c r="D53" s="899" t="s">
        <v>487</v>
      </c>
      <c r="E53" s="901">
        <f t="shared" ref="E53:J53" si="7">SUM(E54:E57)</f>
        <v>121673</v>
      </c>
      <c r="F53" s="901">
        <f t="shared" si="7"/>
        <v>11989</v>
      </c>
      <c r="G53" s="901">
        <f t="shared" si="7"/>
        <v>2471948</v>
      </c>
      <c r="H53" s="901">
        <f t="shared" si="7"/>
        <v>591312</v>
      </c>
      <c r="I53" s="901">
        <f t="shared" si="7"/>
        <v>7732</v>
      </c>
      <c r="J53" s="901">
        <f t="shared" si="7"/>
        <v>39163</v>
      </c>
      <c r="K53" s="901">
        <f>SUM(K54:K57)</f>
        <v>4866600</v>
      </c>
      <c r="L53" s="902">
        <f>SUM(L54:L57)</f>
        <v>206040.8</v>
      </c>
      <c r="M53" s="903">
        <f>SUM(M54:M57)</f>
        <v>16194.7</v>
      </c>
      <c r="N53" s="904">
        <f>SUM(N54:N57)/1000</f>
        <v>3.9676</v>
      </c>
      <c r="O53" s="905">
        <f>SUM(O54:O57)</f>
        <v>189</v>
      </c>
      <c r="P53" s="891"/>
    </row>
    <row r="54" spans="1:16">
      <c r="A54" s="870"/>
      <c r="B54" s="870">
        <v>7</v>
      </c>
      <c r="C54" s="891"/>
      <c r="D54" s="907" t="s">
        <v>630</v>
      </c>
      <c r="E54" s="908">
        <v>19338</v>
      </c>
      <c r="F54" s="908">
        <v>317</v>
      </c>
      <c r="G54" s="908">
        <v>277676</v>
      </c>
      <c r="H54" s="908">
        <v>25410</v>
      </c>
      <c r="I54" s="908">
        <v>921</v>
      </c>
      <c r="J54" s="908">
        <v>1009</v>
      </c>
      <c r="K54" s="918">
        <v>606100</v>
      </c>
      <c r="L54" s="909">
        <f>INDEX($A$69:$K$176,MATCH($D54&amp;$B54,$A$69:$A$176,0),MATCH(L$9,$A$70:$K$70,0))</f>
        <v>40425</v>
      </c>
      <c r="M54" s="909">
        <f>INDEX($A$69:$K$176,MATCH($D54&amp;$B54,$A$69:$A$176,0),MATCH(M$9,$A$70:$K$70,0))</f>
        <v>3110</v>
      </c>
      <c r="N54" s="909">
        <f>INDEX($A$69:$K$176,MATCH($D54&amp;$B54,$A$69:$A$176,0),MATCH(N$9,$A$70:$K$70,0))</f>
        <v>540</v>
      </c>
      <c r="O54" s="909">
        <f>INDEX($A$69:$K$176,MATCH($D54&amp;$B54,$A$69:$A$176,0),MATCH(O$9,$A$70:$K$70,0))</f>
        <v>2</v>
      </c>
      <c r="P54" s="891"/>
    </row>
    <row r="55" spans="1:16">
      <c r="A55" s="870"/>
      <c r="B55" s="870">
        <v>7</v>
      </c>
      <c r="C55" s="891"/>
      <c r="D55" s="907" t="s">
        <v>631</v>
      </c>
      <c r="E55" s="908">
        <v>11750</v>
      </c>
      <c r="F55" s="908">
        <v>10829</v>
      </c>
      <c r="G55" s="908">
        <v>138108</v>
      </c>
      <c r="H55" s="908">
        <v>28895</v>
      </c>
      <c r="I55" s="908">
        <v>519</v>
      </c>
      <c r="J55" s="908">
        <v>1461</v>
      </c>
      <c r="K55" s="908">
        <v>253400</v>
      </c>
      <c r="L55" s="909">
        <f t="shared" ref="L55:O57" si="8">INDEX($A$69:$K$176,MATCH($D55&amp;$B55,$A$69:$A$176,0),MATCH(L$9,$A$70:$K$70,0))</f>
        <v>9768.9</v>
      </c>
      <c r="M55" s="909">
        <f t="shared" si="8"/>
        <v>751.5</v>
      </c>
      <c r="N55" s="909">
        <f t="shared" si="8"/>
        <v>94</v>
      </c>
      <c r="O55" s="909">
        <f t="shared" si="8"/>
        <v>24</v>
      </c>
      <c r="P55" s="891"/>
    </row>
    <row r="56" spans="1:16">
      <c r="A56" s="870"/>
      <c r="B56" s="870">
        <v>7</v>
      </c>
      <c r="C56" s="891"/>
      <c r="D56" s="907" t="s">
        <v>632</v>
      </c>
      <c r="E56" s="908">
        <v>71287</v>
      </c>
      <c r="F56" s="908"/>
      <c r="G56" s="908">
        <v>1640504</v>
      </c>
      <c r="H56" s="908">
        <v>452533</v>
      </c>
      <c r="I56" s="908">
        <v>3234</v>
      </c>
      <c r="J56" s="908">
        <v>24764</v>
      </c>
      <c r="K56" s="908">
        <v>3502900</v>
      </c>
      <c r="L56" s="909">
        <f t="shared" si="8"/>
        <v>124738.9</v>
      </c>
      <c r="M56" s="909">
        <f t="shared" si="8"/>
        <v>9940.2000000000007</v>
      </c>
      <c r="N56" s="909">
        <f t="shared" si="8"/>
        <v>2899.7</v>
      </c>
      <c r="O56" s="909">
        <f t="shared" si="8"/>
        <v>144</v>
      </c>
      <c r="P56" s="891"/>
    </row>
    <row r="57" spans="1:16">
      <c r="A57" s="870"/>
      <c r="B57" s="870">
        <v>7</v>
      </c>
      <c r="C57" s="891"/>
      <c r="D57" s="907" t="s">
        <v>633</v>
      </c>
      <c r="E57" s="908">
        <v>19298</v>
      </c>
      <c r="F57" s="908">
        <v>843</v>
      </c>
      <c r="G57" s="908">
        <v>415660</v>
      </c>
      <c r="H57" s="908">
        <v>84474</v>
      </c>
      <c r="I57" s="908">
        <v>3058</v>
      </c>
      <c r="J57" s="908">
        <v>11929</v>
      </c>
      <c r="K57" s="908">
        <v>504200</v>
      </c>
      <c r="L57" s="909">
        <f t="shared" si="8"/>
        <v>31108</v>
      </c>
      <c r="M57" s="909">
        <f t="shared" si="8"/>
        <v>2393</v>
      </c>
      <c r="N57" s="909">
        <f t="shared" si="8"/>
        <v>433.9</v>
      </c>
      <c r="O57" s="909">
        <f t="shared" si="8"/>
        <v>19</v>
      </c>
      <c r="P57" s="891"/>
    </row>
    <row r="58" spans="1:16">
      <c r="A58" s="870"/>
      <c r="B58" s="870"/>
      <c r="C58" s="891"/>
      <c r="D58" s="911"/>
      <c r="E58" s="912"/>
      <c r="F58" s="891"/>
      <c r="G58" s="891"/>
      <c r="H58" s="891"/>
      <c r="I58" s="891"/>
      <c r="J58" s="891"/>
      <c r="K58" s="908"/>
      <c r="L58" s="913"/>
      <c r="M58" s="914"/>
      <c r="N58" s="915"/>
      <c r="O58" s="920"/>
      <c r="P58" s="891"/>
    </row>
    <row r="59" spans="1:16" ht="25.5">
      <c r="A59" s="870"/>
      <c r="B59" s="870"/>
      <c r="C59" s="891"/>
      <c r="D59" s="892"/>
      <c r="E59" s="893" t="s">
        <v>620</v>
      </c>
      <c r="F59" s="893" t="s">
        <v>621</v>
      </c>
      <c r="G59" s="893" t="s">
        <v>622</v>
      </c>
      <c r="H59" s="893" t="s">
        <v>623</v>
      </c>
      <c r="I59" s="893" t="s">
        <v>600</v>
      </c>
      <c r="J59" s="893" t="s">
        <v>624</v>
      </c>
      <c r="K59" s="908"/>
      <c r="L59" s="919"/>
      <c r="M59" s="914"/>
      <c r="N59" s="891"/>
      <c r="O59" s="922"/>
      <c r="P59" s="891"/>
    </row>
    <row r="60" spans="1:16" ht="25.5">
      <c r="A60" s="870"/>
      <c r="B60" s="870">
        <v>8</v>
      </c>
      <c r="C60" s="891"/>
      <c r="D60" s="899" t="s">
        <v>490</v>
      </c>
      <c r="E60" s="901">
        <f t="shared" ref="E60:J60" si="9">SUM(E61:E64)</f>
        <v>131625</v>
      </c>
      <c r="F60" s="901">
        <f t="shared" si="9"/>
        <v>21619</v>
      </c>
      <c r="G60" s="901">
        <f t="shared" si="9"/>
        <v>2719006</v>
      </c>
      <c r="H60" s="901">
        <f t="shared" si="9"/>
        <v>601301</v>
      </c>
      <c r="I60" s="901">
        <f t="shared" si="9"/>
        <v>32820</v>
      </c>
      <c r="J60" s="901">
        <f t="shared" si="9"/>
        <v>100583</v>
      </c>
      <c r="K60" s="901">
        <f>SUM(K61:K64)</f>
        <v>2621400</v>
      </c>
      <c r="L60" s="902">
        <f>SUM(L61:L64)</f>
        <v>117850.09999999999</v>
      </c>
      <c r="M60" s="903">
        <f>SUM(M61:M64)</f>
        <v>9591.6</v>
      </c>
      <c r="N60" s="904">
        <f>SUM(N61:N64)/1000</f>
        <v>2.0543</v>
      </c>
      <c r="O60" s="905">
        <f>SUM(O61:O64)</f>
        <v>764</v>
      </c>
      <c r="P60" s="891"/>
    </row>
    <row r="61" spans="1:16">
      <c r="A61" s="870"/>
      <c r="B61" s="870">
        <v>8</v>
      </c>
      <c r="C61" s="891"/>
      <c r="D61" s="907" t="s">
        <v>630</v>
      </c>
      <c r="E61" s="908">
        <v>11055</v>
      </c>
      <c r="F61" s="908">
        <v>4082</v>
      </c>
      <c r="G61" s="908">
        <v>134911</v>
      </c>
      <c r="H61" s="908">
        <v>8035</v>
      </c>
      <c r="I61" s="908">
        <v>466</v>
      </c>
      <c r="J61" s="908">
        <v>9609</v>
      </c>
      <c r="K61" s="918">
        <v>130000</v>
      </c>
      <c r="L61" s="909">
        <f>INDEX($A$69:$K$176,MATCH($D61&amp;$B61,$A$69:$A$176,0),MATCH(L$9,$A$70:$K$70,0))</f>
        <v>6082</v>
      </c>
      <c r="M61" s="909">
        <f>INDEX($A$69:$K$176,MATCH($D61&amp;$B61,$A$69:$A$176,0),MATCH(M$9,$A$70:$K$70,0))</f>
        <v>553</v>
      </c>
      <c r="N61" s="909">
        <f>INDEX($A$69:$K$176,MATCH($D61&amp;$B61,$A$69:$A$176,0),MATCH(N$9,$A$70:$K$70,0))</f>
        <v>127</v>
      </c>
      <c r="O61" s="909">
        <f>INDEX($A$69:$K$176,MATCH($D61&amp;$B61,$A$69:$A$176,0),MATCH(O$9,$A$70:$K$70,0))</f>
        <v>33</v>
      </c>
      <c r="P61" s="891"/>
    </row>
    <row r="62" spans="1:16">
      <c r="A62" s="870"/>
      <c r="B62" s="870">
        <v>8</v>
      </c>
      <c r="C62" s="891"/>
      <c r="D62" s="907" t="s">
        <v>631</v>
      </c>
      <c r="E62" s="908">
        <v>17145</v>
      </c>
      <c r="F62" s="908">
        <v>15800</v>
      </c>
      <c r="G62" s="908">
        <v>191524</v>
      </c>
      <c r="H62" s="908">
        <v>55535</v>
      </c>
      <c r="I62" s="908">
        <v>758</v>
      </c>
      <c r="J62" s="908">
        <v>2269</v>
      </c>
      <c r="K62" s="908">
        <v>74400</v>
      </c>
      <c r="L62" s="909">
        <f t="shared" ref="L62:O64" si="10">INDEX($A$69:$K$176,MATCH($D62&amp;$B62,$A$69:$A$176,0),MATCH(L$9,$A$70:$K$70,0))</f>
        <v>3601.9</v>
      </c>
      <c r="M62" s="909">
        <f t="shared" si="10"/>
        <v>277.10000000000002</v>
      </c>
      <c r="N62" s="909">
        <f t="shared" si="10"/>
        <v>53.2</v>
      </c>
      <c r="O62" s="909">
        <f t="shared" si="10"/>
        <v>35</v>
      </c>
      <c r="P62" s="891"/>
    </row>
    <row r="63" spans="1:16">
      <c r="A63" s="870"/>
      <c r="B63" s="870">
        <v>8</v>
      </c>
      <c r="C63" s="891"/>
      <c r="D63" s="907" t="s">
        <v>632</v>
      </c>
      <c r="E63" s="908">
        <v>88863</v>
      </c>
      <c r="F63" s="908">
        <v>327</v>
      </c>
      <c r="G63" s="908">
        <v>2156103</v>
      </c>
      <c r="H63" s="908">
        <v>469543</v>
      </c>
      <c r="I63" s="908">
        <v>24493</v>
      </c>
      <c r="J63" s="908">
        <v>77158</v>
      </c>
      <c r="K63" s="908">
        <v>2181800</v>
      </c>
      <c r="L63" s="909">
        <f t="shared" si="10"/>
        <v>93559.2</v>
      </c>
      <c r="M63" s="909">
        <f t="shared" si="10"/>
        <v>7637.5</v>
      </c>
      <c r="N63" s="909">
        <f t="shared" si="10"/>
        <v>1596.2</v>
      </c>
      <c r="O63" s="909">
        <f t="shared" si="10"/>
        <v>656</v>
      </c>
      <c r="P63" s="891"/>
    </row>
    <row r="64" spans="1:16">
      <c r="A64" s="870"/>
      <c r="B64" s="870">
        <v>8</v>
      </c>
      <c r="C64" s="891"/>
      <c r="D64" s="907" t="s">
        <v>633</v>
      </c>
      <c r="E64" s="908">
        <v>14562</v>
      </c>
      <c r="F64" s="908">
        <v>1410</v>
      </c>
      <c r="G64" s="908">
        <v>236468</v>
      </c>
      <c r="H64" s="908">
        <v>68188</v>
      </c>
      <c r="I64" s="908">
        <v>7103</v>
      </c>
      <c r="J64" s="908">
        <v>11547</v>
      </c>
      <c r="K64" s="908">
        <v>235200</v>
      </c>
      <c r="L64" s="909">
        <f t="shared" si="10"/>
        <v>14607</v>
      </c>
      <c r="M64" s="909">
        <f t="shared" si="10"/>
        <v>1124</v>
      </c>
      <c r="N64" s="909">
        <f t="shared" si="10"/>
        <v>277.89999999999998</v>
      </c>
      <c r="O64" s="909">
        <f t="shared" si="10"/>
        <v>40</v>
      </c>
      <c r="P64" s="891"/>
    </row>
    <row r="65" spans="1:20">
      <c r="A65" s="870"/>
      <c r="B65" s="870"/>
      <c r="C65" s="891"/>
      <c r="D65" s="911"/>
      <c r="E65" s="912"/>
      <c r="F65" s="891"/>
      <c r="G65" s="891"/>
      <c r="H65" s="891"/>
      <c r="I65" s="891"/>
      <c r="J65" s="891"/>
      <c r="K65" s="908"/>
      <c r="L65" s="913"/>
      <c r="M65" s="923"/>
      <c r="N65" s="891"/>
      <c r="O65" s="922"/>
      <c r="P65" s="891"/>
    </row>
    <row r="66" spans="1:20">
      <c r="A66" s="870"/>
      <c r="B66" s="870"/>
      <c r="C66" s="891"/>
      <c r="D66" s="892"/>
      <c r="E66" s="893"/>
      <c r="F66" s="893"/>
      <c r="G66" s="893"/>
      <c r="H66" s="893"/>
      <c r="I66" s="893"/>
      <c r="J66" s="893"/>
      <c r="K66" s="908"/>
      <c r="L66" s="921"/>
      <c r="M66" s="914"/>
      <c r="N66" s="891"/>
      <c r="O66" s="922"/>
      <c r="P66" s="891"/>
    </row>
    <row r="67" spans="1:20" ht="13.5" thickBot="1">
      <c r="A67" s="870"/>
      <c r="B67" s="870"/>
      <c r="C67" s="891"/>
      <c r="D67" s="1366" t="s">
        <v>634</v>
      </c>
      <c r="E67" s="1367"/>
      <c r="F67" s="1367"/>
      <c r="G67" s="1367"/>
      <c r="H67" s="1367"/>
      <c r="I67" s="924"/>
      <c r="J67" s="924"/>
      <c r="K67" s="925"/>
      <c r="L67" s="926"/>
      <c r="M67" s="927"/>
      <c r="N67" s="928"/>
      <c r="O67" s="929"/>
      <c r="P67" s="891"/>
    </row>
    <row r="68" spans="1:20" ht="13.5" thickBot="1">
      <c r="B68" s="870"/>
      <c r="P68" s="930"/>
      <c r="Q68" s="931"/>
      <c r="R68" s="931"/>
      <c r="S68" s="932"/>
    </row>
    <row r="69" spans="1:20">
      <c r="D69" s="933" t="s">
        <v>635</v>
      </c>
      <c r="E69" s="934" t="s">
        <v>636</v>
      </c>
      <c r="F69" s="935"/>
      <c r="G69" s="935"/>
      <c r="H69" s="935"/>
      <c r="I69" s="935"/>
      <c r="J69" s="935"/>
      <c r="K69" s="936"/>
      <c r="Q69" s="930"/>
      <c r="R69" s="931"/>
      <c r="S69" s="931"/>
      <c r="T69" s="932"/>
    </row>
    <row r="70" spans="1:20" ht="25.5">
      <c r="D70" s="937" t="s">
        <v>637</v>
      </c>
      <c r="E70" s="891"/>
      <c r="F70" s="891"/>
      <c r="G70" s="912" t="s">
        <v>627</v>
      </c>
      <c r="H70" s="912" t="s">
        <v>626</v>
      </c>
      <c r="I70" s="912" t="s">
        <v>638</v>
      </c>
      <c r="J70" s="912" t="s">
        <v>628</v>
      </c>
      <c r="K70" s="938" t="s">
        <v>629</v>
      </c>
      <c r="L70" s="939"/>
      <c r="Q70" s="930"/>
      <c r="R70" s="931"/>
      <c r="S70" s="931"/>
      <c r="T70" s="932"/>
    </row>
    <row r="71" spans="1:20">
      <c r="D71" s="940">
        <v>2012</v>
      </c>
      <c r="E71" s="891"/>
      <c r="F71" s="891"/>
      <c r="G71" s="912"/>
      <c r="H71" s="891"/>
      <c r="I71" s="891"/>
      <c r="J71" s="912"/>
      <c r="K71" s="941"/>
      <c r="Q71" s="942"/>
      <c r="R71" s="931"/>
      <c r="S71" s="931"/>
      <c r="T71" s="931"/>
    </row>
    <row r="72" spans="1:20">
      <c r="D72" s="940"/>
      <c r="E72" s="891"/>
      <c r="F72" s="891"/>
      <c r="G72" s="912"/>
      <c r="H72" s="891"/>
      <c r="I72" s="891"/>
      <c r="J72" s="912"/>
      <c r="K72" s="941"/>
      <c r="Q72" s="930"/>
      <c r="R72" s="931"/>
      <c r="S72" s="931"/>
      <c r="T72" s="932"/>
    </row>
    <row r="73" spans="1:20">
      <c r="D73" s="940" t="s">
        <v>639</v>
      </c>
      <c r="E73" s="891"/>
      <c r="F73" s="891"/>
      <c r="G73" s="943"/>
      <c r="H73" s="943"/>
      <c r="I73" s="943"/>
      <c r="J73" s="943"/>
      <c r="K73" s="941"/>
      <c r="Q73" s="930"/>
      <c r="R73" s="931"/>
      <c r="S73" s="931"/>
      <c r="T73" s="932"/>
    </row>
    <row r="74" spans="1:20">
      <c r="A74" s="874" t="str">
        <f>$D$11&amp;B74</f>
        <v>Liberty Utilities1</v>
      </c>
      <c r="B74" s="874">
        <v>1</v>
      </c>
      <c r="D74" s="940" t="s">
        <v>466</v>
      </c>
      <c r="E74" s="891"/>
      <c r="F74" s="891"/>
      <c r="G74" s="944">
        <v>154</v>
      </c>
      <c r="H74" s="944">
        <v>1501</v>
      </c>
      <c r="I74" s="944">
        <v>35</v>
      </c>
      <c r="J74" s="944">
        <v>21</v>
      </c>
      <c r="K74" s="941">
        <v>50</v>
      </c>
      <c r="Q74" s="930"/>
      <c r="R74" s="931"/>
      <c r="S74" s="931"/>
      <c r="T74" s="932"/>
    </row>
    <row r="75" spans="1:20">
      <c r="A75" s="874" t="str">
        <f t="shared" ref="A75:A83" si="11">$D$11&amp;B75</f>
        <v>Liberty Utilities2</v>
      </c>
      <c r="B75" s="874">
        <v>2</v>
      </c>
      <c r="D75" s="940" t="s">
        <v>640</v>
      </c>
      <c r="E75" s="891"/>
      <c r="F75" s="891"/>
      <c r="G75" s="944">
        <v>198</v>
      </c>
      <c r="H75" s="944">
        <v>2894</v>
      </c>
      <c r="I75" s="944">
        <v>21</v>
      </c>
      <c r="J75" s="944">
        <v>10</v>
      </c>
      <c r="K75" s="941">
        <v>110</v>
      </c>
      <c r="Q75" s="930"/>
      <c r="R75" s="931"/>
      <c r="S75" s="931"/>
      <c r="T75" s="932"/>
    </row>
    <row r="76" spans="1:20">
      <c r="A76" s="874" t="str">
        <f t="shared" si="11"/>
        <v>Liberty Utilities5</v>
      </c>
      <c r="B76" s="874">
        <v>5</v>
      </c>
      <c r="D76" s="940" t="s">
        <v>641</v>
      </c>
      <c r="E76" s="891"/>
      <c r="F76" s="891"/>
      <c r="G76" s="944">
        <v>632</v>
      </c>
      <c r="H76" s="944">
        <v>3207</v>
      </c>
      <c r="I76" s="944">
        <v>147</v>
      </c>
      <c r="J76" s="944">
        <v>39</v>
      </c>
      <c r="K76" s="941">
        <v>14507</v>
      </c>
    </row>
    <row r="77" spans="1:20">
      <c r="A77" s="874" t="str">
        <f t="shared" si="11"/>
        <v>Liberty Utilities3</v>
      </c>
      <c r="B77" s="874">
        <v>3</v>
      </c>
      <c r="D77" s="940" t="s">
        <v>478</v>
      </c>
      <c r="E77" s="891"/>
      <c r="F77" s="891"/>
      <c r="G77" s="944">
        <v>119</v>
      </c>
      <c r="H77" s="944">
        <v>1207</v>
      </c>
      <c r="I77" s="944">
        <v>16</v>
      </c>
      <c r="J77" s="944">
        <v>17</v>
      </c>
      <c r="K77" s="941">
        <v>875</v>
      </c>
    </row>
    <row r="78" spans="1:20">
      <c r="A78" s="874" t="str">
        <f t="shared" si="11"/>
        <v>Liberty Utilities4</v>
      </c>
      <c r="B78" s="874">
        <v>4</v>
      </c>
      <c r="D78" s="940" t="s">
        <v>516</v>
      </c>
      <c r="E78" s="891"/>
      <c r="F78" s="891"/>
      <c r="G78" s="944">
        <v>88</v>
      </c>
      <c r="H78" s="944">
        <v>1324</v>
      </c>
      <c r="I78" s="944">
        <v>16</v>
      </c>
      <c r="J78" s="944">
        <v>9</v>
      </c>
      <c r="K78" s="941">
        <v>54</v>
      </c>
    </row>
    <row r="79" spans="1:20">
      <c r="D79" s="937" t="s">
        <v>642</v>
      </c>
      <c r="E79" s="891"/>
      <c r="F79" s="891"/>
      <c r="G79" s="945">
        <v>1192</v>
      </c>
      <c r="H79" s="945">
        <v>10134</v>
      </c>
      <c r="I79" s="945">
        <v>235</v>
      </c>
      <c r="J79" s="945">
        <v>96</v>
      </c>
      <c r="K79" s="946">
        <v>15596</v>
      </c>
    </row>
    <row r="80" spans="1:20">
      <c r="D80" s="940" t="s">
        <v>643</v>
      </c>
      <c r="E80" s="891"/>
      <c r="F80" s="891"/>
      <c r="G80" s="891"/>
      <c r="H80" s="891"/>
      <c r="I80" s="891"/>
      <c r="J80" s="891"/>
      <c r="K80" s="941"/>
    </row>
    <row r="81" spans="1:20">
      <c r="A81" s="874" t="str">
        <f t="shared" si="11"/>
        <v>Liberty Utilities6</v>
      </c>
      <c r="B81" s="874">
        <v>6</v>
      </c>
      <c r="D81" s="940" t="s">
        <v>644</v>
      </c>
      <c r="E81" s="891"/>
      <c r="F81" s="891"/>
      <c r="G81" s="944">
        <v>601</v>
      </c>
      <c r="H81" s="944">
        <v>9244</v>
      </c>
      <c r="I81" s="944">
        <v>104</v>
      </c>
      <c r="J81" s="944">
        <v>145</v>
      </c>
      <c r="K81" s="941">
        <v>13</v>
      </c>
    </row>
    <row r="82" spans="1:20">
      <c r="A82" s="874" t="str">
        <f t="shared" si="11"/>
        <v>Liberty Utilities7</v>
      </c>
      <c r="B82" s="874">
        <v>7</v>
      </c>
      <c r="D82" s="940" t="s">
        <v>487</v>
      </c>
      <c r="E82" s="891"/>
      <c r="F82" s="891"/>
      <c r="G82" s="944">
        <v>3110</v>
      </c>
      <c r="H82" s="944">
        <v>40425</v>
      </c>
      <c r="I82" s="944">
        <v>394</v>
      </c>
      <c r="J82" s="944">
        <v>540</v>
      </c>
      <c r="K82" s="941">
        <v>2</v>
      </c>
    </row>
    <row r="83" spans="1:20">
      <c r="A83" s="874" t="str">
        <f t="shared" si="11"/>
        <v>Liberty Utilities8</v>
      </c>
      <c r="B83" s="874">
        <v>8</v>
      </c>
      <c r="D83" s="940" t="s">
        <v>645</v>
      </c>
      <c r="E83" s="891"/>
      <c r="F83" s="891"/>
      <c r="G83" s="944">
        <v>553</v>
      </c>
      <c r="H83" s="944">
        <v>6082</v>
      </c>
      <c r="I83" s="944">
        <v>71</v>
      </c>
      <c r="J83" s="944">
        <v>127</v>
      </c>
      <c r="K83" s="941">
        <v>33</v>
      </c>
    </row>
    <row r="84" spans="1:20">
      <c r="D84" s="940" t="s">
        <v>646</v>
      </c>
      <c r="E84" s="891"/>
      <c r="F84" s="891"/>
      <c r="G84" s="944">
        <v>4264</v>
      </c>
      <c r="H84" s="944">
        <v>55751</v>
      </c>
      <c r="I84" s="944">
        <v>569</v>
      </c>
      <c r="J84" s="944">
        <v>812</v>
      </c>
      <c r="K84" s="941">
        <v>72</v>
      </c>
    </row>
    <row r="85" spans="1:20">
      <c r="D85" s="940" t="s">
        <v>234</v>
      </c>
      <c r="E85" s="891"/>
      <c r="F85" s="891"/>
      <c r="G85" s="944">
        <v>5456</v>
      </c>
      <c r="H85" s="944">
        <v>65884</v>
      </c>
      <c r="I85" s="944">
        <v>804</v>
      </c>
      <c r="J85" s="944">
        <v>908</v>
      </c>
      <c r="K85" s="941">
        <v>15668</v>
      </c>
    </row>
    <row r="86" spans="1:20" ht="13.5" thickBot="1">
      <c r="D86" s="947" t="s">
        <v>647</v>
      </c>
      <c r="E86" s="928"/>
      <c r="F86" s="928"/>
      <c r="G86" s="948"/>
      <c r="H86" s="948"/>
      <c r="I86" s="948"/>
      <c r="J86" s="948"/>
      <c r="K86" s="949"/>
    </row>
    <row r="87" spans="1:20" ht="13.5" thickBot="1"/>
    <row r="88" spans="1:20">
      <c r="D88" s="933" t="s">
        <v>635</v>
      </c>
      <c r="E88" s="934" t="s">
        <v>648</v>
      </c>
      <c r="F88" s="935"/>
      <c r="G88" s="935"/>
      <c r="H88" s="935"/>
      <c r="I88" s="935"/>
      <c r="J88" s="935"/>
      <c r="K88" s="936"/>
      <c r="Q88" s="930"/>
      <c r="R88" s="931"/>
      <c r="S88" s="931"/>
      <c r="T88" s="932"/>
    </row>
    <row r="89" spans="1:20" ht="25.5">
      <c r="D89" s="937" t="s">
        <v>631</v>
      </c>
      <c r="E89" s="891"/>
      <c r="F89" s="891"/>
      <c r="G89" s="912" t="s">
        <v>627</v>
      </c>
      <c r="H89" s="912" t="s">
        <v>626</v>
      </c>
      <c r="I89" s="912" t="s">
        <v>638</v>
      </c>
      <c r="J89" s="912" t="s">
        <v>628</v>
      </c>
      <c r="K89" s="938" t="s">
        <v>629</v>
      </c>
      <c r="Q89" s="930"/>
      <c r="R89" s="931"/>
      <c r="S89" s="931"/>
      <c r="T89" s="932"/>
    </row>
    <row r="90" spans="1:20">
      <c r="D90" s="940">
        <v>2012</v>
      </c>
      <c r="E90" s="891"/>
      <c r="F90" s="891"/>
      <c r="G90" s="912"/>
      <c r="H90" s="891"/>
      <c r="I90" s="891"/>
      <c r="J90" s="912"/>
      <c r="K90" s="941"/>
      <c r="Q90" s="942"/>
      <c r="R90" s="931"/>
      <c r="S90" s="931"/>
      <c r="T90" s="931"/>
    </row>
    <row r="91" spans="1:20">
      <c r="D91" s="940"/>
      <c r="E91" s="891"/>
      <c r="F91" s="891"/>
      <c r="G91" s="912"/>
      <c r="H91" s="891"/>
      <c r="I91" s="891"/>
      <c r="J91" s="912"/>
      <c r="K91" s="941"/>
      <c r="Q91" s="930"/>
      <c r="R91" s="931"/>
      <c r="S91" s="931"/>
      <c r="T91" s="932"/>
    </row>
    <row r="92" spans="1:20">
      <c r="D92" s="940" t="s">
        <v>639</v>
      </c>
      <c r="E92" s="891"/>
      <c r="F92" s="891"/>
      <c r="G92" s="891"/>
      <c r="H92" s="891"/>
      <c r="I92" s="891"/>
      <c r="J92" s="891"/>
      <c r="K92" s="941"/>
      <c r="Q92" s="930"/>
      <c r="R92" s="931"/>
      <c r="S92" s="931"/>
      <c r="T92" s="932"/>
    </row>
    <row r="93" spans="1:20">
      <c r="A93" s="874" t="str">
        <f>$D$12&amp;B93</f>
        <v>NHEC1</v>
      </c>
      <c r="B93" s="874">
        <v>1</v>
      </c>
      <c r="D93" s="940" t="s">
        <v>466</v>
      </c>
      <c r="E93" s="891"/>
      <c r="F93" s="891"/>
      <c r="G93" s="915">
        <v>49.8</v>
      </c>
      <c r="H93" s="915">
        <v>863.4</v>
      </c>
      <c r="I93" s="915">
        <v>12.1</v>
      </c>
      <c r="J93" s="915">
        <v>14.1</v>
      </c>
      <c r="K93" s="941">
        <v>40</v>
      </c>
      <c r="Q93" s="930"/>
      <c r="R93" s="931"/>
      <c r="S93" s="931"/>
      <c r="T93" s="932"/>
    </row>
    <row r="94" spans="1:20">
      <c r="A94" s="874" t="str">
        <f t="shared" ref="A94:A102" si="12">$D$12&amp;B94</f>
        <v>NHEC2</v>
      </c>
      <c r="B94" s="874">
        <v>2</v>
      </c>
      <c r="D94" s="940" t="s">
        <v>649</v>
      </c>
      <c r="E94" s="891"/>
      <c r="F94" s="891"/>
      <c r="G94" s="915">
        <v>237.5</v>
      </c>
      <c r="H94" s="915">
        <v>2588.8000000000002</v>
      </c>
      <c r="I94" s="915">
        <v>53</v>
      </c>
      <c r="J94" s="915">
        <v>136.19999999999999</v>
      </c>
      <c r="K94" s="941">
        <v>42</v>
      </c>
      <c r="Q94" s="930"/>
      <c r="R94" s="931"/>
      <c r="S94" s="931"/>
      <c r="T94" s="932"/>
    </row>
    <row r="95" spans="1:20">
      <c r="A95" s="874" t="str">
        <f t="shared" si="12"/>
        <v>NHEC5</v>
      </c>
      <c r="B95" s="874">
        <v>5</v>
      </c>
      <c r="D95" s="940" t="s">
        <v>641</v>
      </c>
      <c r="E95" s="891"/>
      <c r="F95" s="891"/>
      <c r="G95" s="915">
        <v>1704.7</v>
      </c>
      <c r="H95" s="915">
        <v>8886.2000000000007</v>
      </c>
      <c r="I95" s="915">
        <v>402.4</v>
      </c>
      <c r="J95" s="915">
        <v>106.9</v>
      </c>
      <c r="K95" s="941">
        <v>39490</v>
      </c>
    </row>
    <row r="96" spans="1:20">
      <c r="A96" s="874" t="str">
        <f t="shared" si="12"/>
        <v>NHEC3</v>
      </c>
      <c r="B96" s="874">
        <v>3</v>
      </c>
      <c r="D96" s="940" t="s">
        <v>478</v>
      </c>
      <c r="E96" s="891"/>
      <c r="F96" s="891"/>
      <c r="G96" s="915">
        <v>347.9</v>
      </c>
      <c r="H96" s="915">
        <v>3547.6</v>
      </c>
      <c r="I96" s="915">
        <v>47.9</v>
      </c>
      <c r="J96" s="915">
        <v>43</v>
      </c>
      <c r="K96" s="941">
        <v>1848</v>
      </c>
    </row>
    <row r="97" spans="1:20">
      <c r="A97" s="874" t="str">
        <f t="shared" si="12"/>
        <v>NHEC4</v>
      </c>
      <c r="B97" s="874">
        <v>4</v>
      </c>
      <c r="D97" s="940" t="s">
        <v>516</v>
      </c>
      <c r="E97" s="891"/>
      <c r="F97" s="891"/>
      <c r="G97" s="915">
        <v>71.8</v>
      </c>
      <c r="H97" s="915">
        <v>879.6</v>
      </c>
      <c r="I97" s="915">
        <v>24.2</v>
      </c>
      <c r="J97" s="915">
        <v>24.2</v>
      </c>
      <c r="K97" s="941">
        <v>61</v>
      </c>
    </row>
    <row r="98" spans="1:20">
      <c r="D98" s="937" t="s">
        <v>642</v>
      </c>
      <c r="E98" s="950"/>
      <c r="F98" s="950"/>
      <c r="G98" s="951">
        <v>2685.9</v>
      </c>
      <c r="H98" s="951">
        <v>23621.9</v>
      </c>
      <c r="I98" s="951">
        <v>690.7</v>
      </c>
      <c r="J98" s="951">
        <v>333.6</v>
      </c>
      <c r="K98" s="946">
        <v>41494</v>
      </c>
    </row>
    <row r="99" spans="1:20">
      <c r="D99" s="940" t="s">
        <v>643</v>
      </c>
      <c r="E99" s="891"/>
      <c r="F99" s="891"/>
      <c r="G99" s="891"/>
      <c r="H99" s="891"/>
      <c r="I99" s="891"/>
      <c r="J99" s="891"/>
      <c r="K99" s="941"/>
    </row>
    <row r="100" spans="1:20">
      <c r="A100" s="874" t="str">
        <f t="shared" si="12"/>
        <v>NHEC6</v>
      </c>
      <c r="B100" s="874">
        <v>6</v>
      </c>
      <c r="D100" s="940" t="s">
        <v>644</v>
      </c>
      <c r="E100" s="891"/>
      <c r="F100" s="891"/>
      <c r="G100" s="915">
        <v>163.69999999999999</v>
      </c>
      <c r="H100" s="915">
        <v>2456</v>
      </c>
      <c r="I100" s="915">
        <v>21.6</v>
      </c>
      <c r="J100" s="915">
        <v>23.6</v>
      </c>
      <c r="K100" s="941">
        <v>5</v>
      </c>
    </row>
    <row r="101" spans="1:20">
      <c r="A101" s="874" t="str">
        <f t="shared" si="12"/>
        <v>NHEC7</v>
      </c>
      <c r="B101" s="874">
        <v>7</v>
      </c>
      <c r="D101" s="940" t="s">
        <v>487</v>
      </c>
      <c r="E101" s="891"/>
      <c r="F101" s="891"/>
      <c r="G101" s="915">
        <v>751.5</v>
      </c>
      <c r="H101" s="915">
        <v>9768.9</v>
      </c>
      <c r="I101" s="915">
        <v>273.7</v>
      </c>
      <c r="J101" s="915">
        <v>94</v>
      </c>
      <c r="K101" s="941">
        <v>24</v>
      </c>
    </row>
    <row r="102" spans="1:20">
      <c r="A102" s="874" t="str">
        <f t="shared" si="12"/>
        <v>NHEC8</v>
      </c>
      <c r="B102" s="874">
        <v>8</v>
      </c>
      <c r="D102" s="940" t="s">
        <v>645</v>
      </c>
      <c r="E102" s="891"/>
      <c r="F102" s="891"/>
      <c r="G102" s="915">
        <v>277.10000000000002</v>
      </c>
      <c r="H102" s="915">
        <v>3601.9</v>
      </c>
      <c r="I102" s="915">
        <v>45.8</v>
      </c>
      <c r="J102" s="915">
        <v>53.2</v>
      </c>
      <c r="K102" s="941">
        <v>35</v>
      </c>
    </row>
    <row r="103" spans="1:20">
      <c r="D103" s="940" t="s">
        <v>650</v>
      </c>
      <c r="E103" s="891"/>
      <c r="F103" s="891"/>
      <c r="G103" s="915" t="s">
        <v>651</v>
      </c>
      <c r="H103" s="915" t="s">
        <v>651</v>
      </c>
      <c r="I103" s="915" t="s">
        <v>651</v>
      </c>
      <c r="J103" s="915" t="s">
        <v>651</v>
      </c>
      <c r="K103" s="941" t="s">
        <v>651</v>
      </c>
    </row>
    <row r="104" spans="1:20">
      <c r="D104" s="937" t="s">
        <v>646</v>
      </c>
      <c r="E104" s="950"/>
      <c r="F104" s="950"/>
      <c r="G104" s="952">
        <v>1192.3</v>
      </c>
      <c r="H104" s="952">
        <v>15826.9</v>
      </c>
      <c r="I104" s="952">
        <v>341.1</v>
      </c>
      <c r="J104" s="952">
        <v>170.8</v>
      </c>
      <c r="K104" s="946">
        <v>64</v>
      </c>
    </row>
    <row r="105" spans="1:20">
      <c r="D105" s="937" t="s">
        <v>234</v>
      </c>
      <c r="E105" s="950"/>
      <c r="F105" s="950"/>
      <c r="G105" s="952">
        <v>3878.2</v>
      </c>
      <c r="H105" s="952">
        <v>39448.800000000003</v>
      </c>
      <c r="I105" s="952">
        <v>1031.8</v>
      </c>
      <c r="J105" s="952">
        <v>504.4</v>
      </c>
      <c r="K105" s="946">
        <v>41558</v>
      </c>
    </row>
    <row r="106" spans="1:20" ht="13.5" thickBot="1">
      <c r="D106" s="947" t="s">
        <v>652</v>
      </c>
      <c r="E106" s="928"/>
      <c r="F106" s="928"/>
      <c r="G106" s="928"/>
      <c r="H106" s="928"/>
      <c r="I106" s="928"/>
      <c r="J106" s="928"/>
      <c r="K106" s="949"/>
    </row>
    <row r="108" spans="1:20" ht="13.5" thickBot="1"/>
    <row r="109" spans="1:20">
      <c r="D109" s="933" t="s">
        <v>39</v>
      </c>
      <c r="E109" s="934" t="s">
        <v>653</v>
      </c>
      <c r="F109" s="935"/>
      <c r="G109" s="935"/>
      <c r="H109" s="935"/>
      <c r="I109" s="935"/>
      <c r="J109" s="935"/>
      <c r="K109" s="936"/>
    </row>
    <row r="110" spans="1:20" ht="25.5">
      <c r="D110" s="937" t="s">
        <v>632</v>
      </c>
      <c r="E110" s="891"/>
      <c r="F110" s="891"/>
      <c r="G110" s="912" t="s">
        <v>627</v>
      </c>
      <c r="H110" s="912" t="s">
        <v>626</v>
      </c>
      <c r="I110" s="912" t="s">
        <v>638</v>
      </c>
      <c r="J110" s="912" t="s">
        <v>628</v>
      </c>
      <c r="K110" s="938" t="s">
        <v>629</v>
      </c>
      <c r="Q110" s="930"/>
      <c r="R110" s="931"/>
      <c r="S110" s="931"/>
      <c r="T110" s="932"/>
    </row>
    <row r="111" spans="1:20">
      <c r="D111" s="940">
        <v>2012</v>
      </c>
      <c r="E111" s="891"/>
      <c r="F111" s="891"/>
      <c r="G111" s="912"/>
      <c r="H111" s="912"/>
      <c r="I111" s="912"/>
      <c r="J111" s="912"/>
      <c r="K111" s="938"/>
      <c r="Q111" s="942"/>
      <c r="R111" s="931"/>
      <c r="S111" s="931"/>
      <c r="T111" s="931"/>
    </row>
    <row r="112" spans="1:20">
      <c r="D112" s="940"/>
      <c r="E112" s="891"/>
      <c r="F112" s="891"/>
      <c r="G112" s="912"/>
      <c r="H112" s="912"/>
      <c r="I112" s="912"/>
      <c r="J112" s="912"/>
      <c r="K112" s="938"/>
      <c r="Q112" s="930"/>
      <c r="R112" s="931"/>
      <c r="S112" s="931"/>
      <c r="T112" s="932"/>
    </row>
    <row r="113" spans="1:11">
      <c r="D113" s="940" t="s">
        <v>639</v>
      </c>
      <c r="E113" s="891"/>
      <c r="F113" s="891"/>
      <c r="G113" s="891"/>
      <c r="H113" s="891"/>
      <c r="I113" s="891"/>
      <c r="J113" s="891"/>
      <c r="K113" s="941"/>
    </row>
    <row r="114" spans="1:11">
      <c r="A114" s="874" t="str">
        <f>$D$13&amp;B114</f>
        <v>PSNH4</v>
      </c>
      <c r="B114" s="874">
        <v>4</v>
      </c>
      <c r="D114" s="940" t="s">
        <v>516</v>
      </c>
      <c r="E114" s="891"/>
      <c r="F114" s="891"/>
      <c r="G114" s="953">
        <v>654.79999999999995</v>
      </c>
      <c r="H114" s="953">
        <v>9101.7000000000007</v>
      </c>
      <c r="I114" s="953">
        <v>81.7</v>
      </c>
      <c r="J114" s="953">
        <v>21.7</v>
      </c>
      <c r="K114" s="941">
        <v>760</v>
      </c>
    </row>
    <row r="115" spans="1:11">
      <c r="A115" s="874" t="str">
        <f t="shared" ref="A115:A124" si="13">$D$13&amp;B115</f>
        <v>PSNH2</v>
      </c>
      <c r="B115" s="874">
        <v>2</v>
      </c>
      <c r="D115" s="940" t="s">
        <v>649</v>
      </c>
      <c r="E115" s="891"/>
      <c r="F115" s="891"/>
      <c r="G115" s="953">
        <v>490.3</v>
      </c>
      <c r="H115" s="953">
        <v>4719.3999999999996</v>
      </c>
      <c r="I115" s="953">
        <v>141.1</v>
      </c>
      <c r="J115" s="953">
        <v>24.9</v>
      </c>
      <c r="K115" s="941">
        <v>1019</v>
      </c>
    </row>
    <row r="116" spans="1:11">
      <c r="A116" s="874" t="str">
        <f t="shared" si="13"/>
        <v>PSNH1</v>
      </c>
      <c r="B116" s="874">
        <v>1</v>
      </c>
      <c r="D116" s="940" t="s">
        <v>466</v>
      </c>
      <c r="E116" s="891"/>
      <c r="F116" s="891"/>
      <c r="G116" s="953">
        <v>570.70000000000005</v>
      </c>
      <c r="H116" s="953">
        <v>9809.4</v>
      </c>
      <c r="I116" s="953">
        <v>130.69999999999999</v>
      </c>
      <c r="J116" s="953">
        <v>84.5</v>
      </c>
      <c r="K116" s="941">
        <v>384</v>
      </c>
    </row>
    <row r="117" spans="1:11">
      <c r="A117" s="874" t="str">
        <f t="shared" si="13"/>
        <v>PSNH3</v>
      </c>
      <c r="B117" s="874">
        <v>3</v>
      </c>
      <c r="D117" s="940" t="s">
        <v>478</v>
      </c>
      <c r="E117" s="891"/>
      <c r="F117" s="891"/>
      <c r="G117" s="953">
        <v>2013.5</v>
      </c>
      <c r="H117" s="953">
        <v>20646.599999999999</v>
      </c>
      <c r="I117" s="953">
        <v>285.3</v>
      </c>
      <c r="J117" s="953">
        <v>269.3</v>
      </c>
      <c r="K117" s="941">
        <v>13766</v>
      </c>
    </row>
    <row r="118" spans="1:11">
      <c r="A118" s="874" t="str">
        <f t="shared" si="13"/>
        <v>PSNH5</v>
      </c>
      <c r="B118" s="874">
        <v>5</v>
      </c>
      <c r="D118" s="940" t="s">
        <v>460</v>
      </c>
      <c r="E118" s="891"/>
      <c r="F118" s="891"/>
      <c r="G118" s="953">
        <v>7917.3</v>
      </c>
      <c r="H118" s="953">
        <v>41315.699999999997</v>
      </c>
      <c r="I118" s="953">
        <v>1855.9</v>
      </c>
      <c r="J118" s="953">
        <v>493.2</v>
      </c>
      <c r="K118" s="941">
        <v>186081</v>
      </c>
    </row>
    <row r="119" spans="1:11">
      <c r="D119" s="940" t="s">
        <v>654</v>
      </c>
      <c r="E119" s="891"/>
      <c r="F119" s="891"/>
      <c r="G119" s="953">
        <v>0</v>
      </c>
      <c r="H119" s="953" t="s">
        <v>124</v>
      </c>
      <c r="I119" s="953" t="s">
        <v>124</v>
      </c>
      <c r="J119" s="953" t="s">
        <v>124</v>
      </c>
      <c r="K119" s="941" t="s">
        <v>124</v>
      </c>
    </row>
    <row r="120" spans="1:11">
      <c r="D120" s="937" t="s">
        <v>642</v>
      </c>
      <c r="E120" s="950"/>
      <c r="F120" s="950"/>
      <c r="G120" s="954">
        <v>12550.5</v>
      </c>
      <c r="H120" s="954">
        <v>108192.682</v>
      </c>
      <c r="I120" s="954">
        <v>3123</v>
      </c>
      <c r="J120" s="954">
        <v>910.5</v>
      </c>
      <c r="K120" s="946">
        <v>202058</v>
      </c>
    </row>
    <row r="121" spans="1:11">
      <c r="D121" s="940" t="s">
        <v>655</v>
      </c>
      <c r="E121" s="891"/>
      <c r="F121" s="891"/>
      <c r="G121" s="955"/>
      <c r="H121" s="955"/>
      <c r="I121" s="955"/>
      <c r="J121" s="955"/>
      <c r="K121" s="941"/>
    </row>
    <row r="122" spans="1:11">
      <c r="A122" s="874" t="str">
        <f t="shared" si="13"/>
        <v>PSNH6</v>
      </c>
      <c r="B122" s="874">
        <v>6</v>
      </c>
      <c r="D122" s="940" t="s">
        <v>644</v>
      </c>
      <c r="E122" s="891"/>
      <c r="F122" s="891"/>
      <c r="G122" s="955">
        <v>5368.4</v>
      </c>
      <c r="H122" s="955">
        <v>75470.8</v>
      </c>
      <c r="I122" s="955">
        <v>1082.5999999999999</v>
      </c>
      <c r="J122" s="955">
        <v>2083.4</v>
      </c>
      <c r="K122" s="941">
        <v>157</v>
      </c>
    </row>
    <row r="123" spans="1:11">
      <c r="A123" s="874" t="str">
        <f t="shared" si="13"/>
        <v>PSNH7</v>
      </c>
      <c r="B123" s="874">
        <v>7</v>
      </c>
      <c r="D123" s="940" t="s">
        <v>487</v>
      </c>
      <c r="E123" s="891"/>
      <c r="F123" s="891"/>
      <c r="G123" s="953">
        <v>9940.2000000000007</v>
      </c>
      <c r="H123" s="953">
        <v>124738.9</v>
      </c>
      <c r="I123" s="953">
        <v>1805</v>
      </c>
      <c r="J123" s="953">
        <v>2899.7</v>
      </c>
      <c r="K123" s="941">
        <v>144</v>
      </c>
    </row>
    <row r="124" spans="1:11">
      <c r="A124" s="874" t="str">
        <f t="shared" si="13"/>
        <v>PSNH8</v>
      </c>
      <c r="B124" s="874">
        <v>8</v>
      </c>
      <c r="D124" s="940" t="s">
        <v>490</v>
      </c>
      <c r="E124" s="891"/>
      <c r="F124" s="891"/>
      <c r="G124" s="953">
        <v>7637.5</v>
      </c>
      <c r="H124" s="953">
        <v>93559.2</v>
      </c>
      <c r="I124" s="953">
        <v>1351.8</v>
      </c>
      <c r="J124" s="953">
        <v>1596.2</v>
      </c>
      <c r="K124" s="941">
        <v>656</v>
      </c>
    </row>
    <row r="125" spans="1:11">
      <c r="D125" s="937" t="s">
        <v>646</v>
      </c>
      <c r="E125" s="950"/>
      <c r="F125" s="950"/>
      <c r="G125" s="954">
        <v>25484.799999999999</v>
      </c>
      <c r="H125" s="954">
        <v>323953.90000000002</v>
      </c>
      <c r="I125" s="954">
        <v>4703.8</v>
      </c>
      <c r="J125" s="954">
        <v>7494.4</v>
      </c>
      <c r="K125" s="946">
        <v>963</v>
      </c>
    </row>
    <row r="126" spans="1:11" ht="13.5" thickBot="1">
      <c r="D126" s="956" t="s">
        <v>234</v>
      </c>
      <c r="E126" s="957"/>
      <c r="F126" s="957"/>
      <c r="G126" s="958">
        <v>38035.300000000003</v>
      </c>
      <c r="H126" s="958">
        <v>432146.6</v>
      </c>
      <c r="I126" s="958">
        <v>7826.8</v>
      </c>
      <c r="J126" s="958">
        <v>8404.9</v>
      </c>
      <c r="K126" s="959">
        <v>203021</v>
      </c>
    </row>
    <row r="127" spans="1:11">
      <c r="G127" s="923"/>
      <c r="H127" s="923"/>
      <c r="I127" s="923"/>
      <c r="J127" s="923"/>
      <c r="K127" s="908"/>
    </row>
    <row r="128" spans="1:11" ht="13.5" thickBot="1"/>
    <row r="129" spans="1:20">
      <c r="D129" s="933" t="s">
        <v>39</v>
      </c>
      <c r="E129" s="934" t="s">
        <v>656</v>
      </c>
      <c r="F129" s="935"/>
      <c r="G129" s="935"/>
      <c r="H129" s="935"/>
      <c r="I129" s="935"/>
      <c r="J129" s="935"/>
      <c r="K129" s="936"/>
    </row>
    <row r="130" spans="1:20" ht="25.5">
      <c r="D130" s="937" t="s">
        <v>657</v>
      </c>
      <c r="E130" s="891"/>
      <c r="F130" s="891"/>
      <c r="G130" s="912" t="s">
        <v>627</v>
      </c>
      <c r="H130" s="912" t="s">
        <v>626</v>
      </c>
      <c r="I130" s="912" t="s">
        <v>638</v>
      </c>
      <c r="J130" s="912" t="s">
        <v>628</v>
      </c>
      <c r="K130" s="938" t="s">
        <v>629</v>
      </c>
      <c r="Q130" s="930"/>
      <c r="R130" s="931"/>
      <c r="S130" s="931"/>
      <c r="T130" s="932"/>
    </row>
    <row r="131" spans="1:20">
      <c r="D131" s="940">
        <v>2012</v>
      </c>
      <c r="E131" s="891"/>
      <c r="F131" s="891"/>
      <c r="G131" s="891"/>
      <c r="H131" s="891"/>
      <c r="I131" s="891"/>
      <c r="J131" s="891"/>
      <c r="K131" s="941"/>
      <c r="Q131" s="942"/>
      <c r="R131" s="931"/>
      <c r="S131" s="931"/>
      <c r="T131" s="931"/>
    </row>
    <row r="132" spans="1:20">
      <c r="D132" s="940"/>
      <c r="E132" s="891"/>
      <c r="F132" s="891"/>
      <c r="G132" s="891"/>
      <c r="H132" s="891"/>
      <c r="I132" s="891"/>
      <c r="J132" s="891"/>
      <c r="K132" s="941"/>
      <c r="Q132" s="930"/>
      <c r="R132" s="931"/>
      <c r="S132" s="931"/>
      <c r="T132" s="932"/>
    </row>
    <row r="133" spans="1:20">
      <c r="D133" s="940" t="s">
        <v>639</v>
      </c>
      <c r="E133" s="891"/>
      <c r="F133" s="891"/>
      <c r="G133" s="891"/>
      <c r="H133" s="891"/>
      <c r="I133" s="891"/>
      <c r="J133" s="891"/>
      <c r="K133" s="941"/>
    </row>
    <row r="134" spans="1:20">
      <c r="A134" s="874" t="str">
        <f>$D$14&amp;B134</f>
        <v>Unitil1</v>
      </c>
      <c r="B134" s="874">
        <v>1</v>
      </c>
      <c r="D134" s="940" t="s">
        <v>466</v>
      </c>
      <c r="E134" s="891"/>
      <c r="F134" s="891"/>
      <c r="G134" s="953">
        <v>72</v>
      </c>
      <c r="H134" s="953">
        <v>1402</v>
      </c>
      <c r="I134" s="953">
        <v>36</v>
      </c>
      <c r="J134" s="953">
        <v>4.2</v>
      </c>
      <c r="K134" s="941">
        <v>36</v>
      </c>
    </row>
    <row r="135" spans="1:20">
      <c r="A135" s="874" t="str">
        <f t="shared" ref="A135:A143" si="14">$D$14&amp;B135</f>
        <v>Unitil2</v>
      </c>
      <c r="B135" s="874">
        <v>2</v>
      </c>
      <c r="D135" s="940" t="s">
        <v>658</v>
      </c>
      <c r="E135" s="891"/>
      <c r="F135" s="891"/>
      <c r="G135" s="953">
        <v>35</v>
      </c>
      <c r="H135" s="953">
        <v>496</v>
      </c>
      <c r="I135" s="953">
        <v>16.5</v>
      </c>
      <c r="J135" s="953">
        <v>1</v>
      </c>
      <c r="K135" s="941">
        <v>65</v>
      </c>
    </row>
    <row r="136" spans="1:20">
      <c r="A136" s="874" t="str">
        <f t="shared" si="14"/>
        <v>Unitil5</v>
      </c>
      <c r="B136" s="874">
        <v>5</v>
      </c>
      <c r="D136" s="940" t="s">
        <v>659</v>
      </c>
      <c r="E136" s="891"/>
      <c r="F136" s="891"/>
      <c r="G136" s="953">
        <v>1800</v>
      </c>
      <c r="H136" s="953">
        <v>9019</v>
      </c>
      <c r="I136" s="953">
        <v>436</v>
      </c>
      <c r="J136" s="953">
        <v>115.9</v>
      </c>
      <c r="K136" s="941">
        <v>43961</v>
      </c>
    </row>
    <row r="137" spans="1:20">
      <c r="A137" s="874" t="str">
        <f t="shared" si="14"/>
        <v>Unitil3</v>
      </c>
      <c r="B137" s="874">
        <v>3</v>
      </c>
      <c r="D137" s="940" t="s">
        <v>660</v>
      </c>
      <c r="E137" s="891"/>
      <c r="F137" s="891"/>
      <c r="G137" s="953">
        <v>333</v>
      </c>
      <c r="H137" s="953">
        <v>3433</v>
      </c>
      <c r="I137" s="953">
        <v>46.1</v>
      </c>
      <c r="J137" s="953">
        <v>56.4</v>
      </c>
      <c r="K137" s="941">
        <v>1622</v>
      </c>
    </row>
    <row r="138" spans="1:20">
      <c r="A138" s="874" t="str">
        <f t="shared" si="14"/>
        <v>Unitil4</v>
      </c>
      <c r="B138" s="874">
        <v>4</v>
      </c>
      <c r="D138" s="940" t="s">
        <v>661</v>
      </c>
      <c r="E138" s="891"/>
      <c r="F138" s="891"/>
      <c r="G138" s="953">
        <v>545.20000000000005</v>
      </c>
      <c r="H138" s="953">
        <v>8863.1</v>
      </c>
      <c r="I138" s="953">
        <v>13.3</v>
      </c>
      <c r="J138" s="953">
        <v>1.2</v>
      </c>
      <c r="K138" s="941">
        <v>58</v>
      </c>
    </row>
    <row r="139" spans="1:20">
      <c r="D139" s="937" t="s">
        <v>642</v>
      </c>
      <c r="E139" s="950"/>
      <c r="F139" s="950"/>
      <c r="G139" s="954">
        <v>2785.2</v>
      </c>
      <c r="H139" s="954">
        <v>23213.1</v>
      </c>
      <c r="I139" s="954">
        <v>547.9</v>
      </c>
      <c r="J139" s="954">
        <v>178.6</v>
      </c>
      <c r="K139" s="946">
        <v>45742</v>
      </c>
    </row>
    <row r="140" spans="1:20">
      <c r="D140" s="940" t="s">
        <v>655</v>
      </c>
      <c r="E140" s="891"/>
      <c r="F140" s="891"/>
      <c r="G140" s="955"/>
      <c r="H140" s="955"/>
      <c r="I140" s="955"/>
      <c r="J140" s="955"/>
      <c r="K140" s="941"/>
    </row>
    <row r="141" spans="1:20">
      <c r="A141" s="874" t="str">
        <f t="shared" si="14"/>
        <v>Unitil6</v>
      </c>
      <c r="B141" s="874">
        <v>6</v>
      </c>
      <c r="D141" s="940" t="s">
        <v>644</v>
      </c>
      <c r="E141" s="891"/>
      <c r="F141" s="891"/>
      <c r="G141" s="953">
        <v>562</v>
      </c>
      <c r="H141" s="953">
        <v>8431</v>
      </c>
      <c r="I141" s="953">
        <v>127.6</v>
      </c>
      <c r="J141" s="953">
        <v>155.6</v>
      </c>
      <c r="K141" s="941">
        <v>13</v>
      </c>
    </row>
    <row r="142" spans="1:20">
      <c r="A142" s="874" t="str">
        <f t="shared" si="14"/>
        <v>Unitil7</v>
      </c>
      <c r="B142" s="874">
        <v>7</v>
      </c>
      <c r="D142" s="940" t="s">
        <v>487</v>
      </c>
      <c r="E142" s="891"/>
      <c r="F142" s="891"/>
      <c r="G142" s="953">
        <v>2393</v>
      </c>
      <c r="H142" s="953">
        <v>31108</v>
      </c>
      <c r="I142" s="953">
        <v>326.39999999999998</v>
      </c>
      <c r="J142" s="953">
        <v>433.9</v>
      </c>
      <c r="K142" s="941">
        <v>19</v>
      </c>
    </row>
    <row r="143" spans="1:20">
      <c r="A143" s="874" t="str">
        <f t="shared" si="14"/>
        <v>Unitil8</v>
      </c>
      <c r="B143" s="874">
        <v>8</v>
      </c>
      <c r="D143" s="940" t="s">
        <v>645</v>
      </c>
      <c r="E143" s="891"/>
      <c r="F143" s="891"/>
      <c r="G143" s="953">
        <v>1124</v>
      </c>
      <c r="H143" s="953">
        <v>14607</v>
      </c>
      <c r="I143" s="953">
        <v>203.7</v>
      </c>
      <c r="J143" s="953">
        <v>277.89999999999998</v>
      </c>
      <c r="K143" s="941">
        <v>40</v>
      </c>
    </row>
    <row r="144" spans="1:20">
      <c r="D144" s="937" t="s">
        <v>646</v>
      </c>
      <c r="E144" s="950"/>
      <c r="F144" s="950"/>
      <c r="G144" s="954">
        <v>4079</v>
      </c>
      <c r="H144" s="954">
        <v>54146</v>
      </c>
      <c r="I144" s="954">
        <v>657.7</v>
      </c>
      <c r="J144" s="954">
        <v>867.4</v>
      </c>
      <c r="K144" s="946">
        <v>72</v>
      </c>
    </row>
    <row r="145" spans="4:14" ht="13.5" thickBot="1">
      <c r="D145" s="956" t="s">
        <v>234</v>
      </c>
      <c r="E145" s="957"/>
      <c r="F145" s="957"/>
      <c r="G145" s="960">
        <v>6864.2</v>
      </c>
      <c r="H145" s="960">
        <v>77359.100000000006</v>
      </c>
      <c r="I145" s="960">
        <v>1205.5999999999999</v>
      </c>
      <c r="J145" s="960">
        <v>1046</v>
      </c>
      <c r="K145" s="959">
        <v>45814</v>
      </c>
    </row>
    <row r="147" spans="4:14">
      <c r="D147" s="880" t="s">
        <v>93</v>
      </c>
      <c r="K147" s="880"/>
      <c r="L147" s="880"/>
      <c r="M147" s="881"/>
      <c r="N147" s="882"/>
    </row>
    <row r="148" spans="4:14" ht="51.75" customHeight="1">
      <c r="D148" s="961" t="s">
        <v>662</v>
      </c>
      <c r="E148" s="1365" t="s">
        <v>663</v>
      </c>
      <c r="F148" s="1365"/>
      <c r="G148" s="1365"/>
      <c r="H148" s="1365"/>
      <c r="I148" s="1365"/>
      <c r="J148" s="1365"/>
      <c r="K148" s="1365"/>
      <c r="L148" s="962"/>
      <c r="N148" s="882"/>
    </row>
    <row r="149" spans="4:14" ht="94.5" customHeight="1">
      <c r="D149" s="963" t="s">
        <v>664</v>
      </c>
      <c r="E149" s="1365" t="s">
        <v>665</v>
      </c>
      <c r="F149" s="1365"/>
      <c r="G149" s="1365"/>
      <c r="H149" s="1365"/>
      <c r="I149" s="1365"/>
      <c r="J149" s="1365"/>
      <c r="K149" s="1365"/>
      <c r="L149" s="962"/>
      <c r="N149" s="882"/>
    </row>
    <row r="150" spans="4:14" ht="76.5" customHeight="1">
      <c r="D150" s="961" t="s">
        <v>666</v>
      </c>
      <c r="E150" s="1365" t="s">
        <v>667</v>
      </c>
      <c r="F150" s="1365"/>
      <c r="G150" s="1365"/>
      <c r="H150" s="1365"/>
      <c r="I150" s="1365"/>
      <c r="J150" s="1365"/>
      <c r="K150" s="1365"/>
      <c r="L150" s="962"/>
      <c r="N150" s="882"/>
    </row>
    <row r="151" spans="4:14" ht="82.5" customHeight="1">
      <c r="D151" s="962" t="s">
        <v>668</v>
      </c>
      <c r="E151" s="1365" t="s">
        <v>669</v>
      </c>
      <c r="F151" s="1365"/>
      <c r="G151" s="1365"/>
      <c r="H151" s="1365"/>
      <c r="I151" s="1365"/>
      <c r="J151" s="1365"/>
      <c r="K151" s="1365"/>
      <c r="L151" s="962"/>
      <c r="N151" s="882"/>
    </row>
    <row r="152" spans="4:14" ht="78.75" customHeight="1">
      <c r="D152" s="961" t="s">
        <v>670</v>
      </c>
      <c r="E152" s="1365" t="s">
        <v>671</v>
      </c>
      <c r="F152" s="1365"/>
      <c r="G152" s="1365"/>
      <c r="H152" s="1365"/>
      <c r="I152" s="1365"/>
      <c r="J152" s="1365"/>
      <c r="K152" s="1365"/>
      <c r="L152" s="962"/>
      <c r="N152" s="882"/>
    </row>
    <row r="153" spans="4:14" ht="82.5" customHeight="1">
      <c r="D153" s="962" t="s">
        <v>672</v>
      </c>
      <c r="E153" s="1365" t="s">
        <v>673</v>
      </c>
      <c r="F153" s="1365"/>
      <c r="G153" s="1365"/>
      <c r="H153" s="1365"/>
      <c r="I153" s="1365"/>
      <c r="J153" s="1365"/>
      <c r="K153" s="1365"/>
      <c r="L153" s="962"/>
      <c r="N153" s="882"/>
    </row>
    <row r="154" spans="4:14" ht="103.5" customHeight="1">
      <c r="D154" s="962" t="s">
        <v>674</v>
      </c>
      <c r="E154" s="1365" t="s">
        <v>675</v>
      </c>
      <c r="F154" s="1365"/>
      <c r="G154" s="1365"/>
      <c r="H154" s="1365"/>
      <c r="I154" s="1365"/>
      <c r="J154" s="1365"/>
      <c r="K154" s="1365"/>
      <c r="L154" s="962"/>
      <c r="N154" s="882"/>
    </row>
    <row r="155" spans="4:14" ht="54.75" customHeight="1">
      <c r="D155" s="962" t="s">
        <v>676</v>
      </c>
      <c r="E155" s="1365" t="s">
        <v>677</v>
      </c>
      <c r="F155" s="1365"/>
      <c r="G155" s="1365"/>
      <c r="H155" s="1365"/>
      <c r="I155" s="1365"/>
      <c r="J155" s="1365"/>
      <c r="K155" s="1365"/>
      <c r="L155" s="962"/>
      <c r="N155" s="882"/>
    </row>
    <row r="156" spans="4:14">
      <c r="K156" s="880"/>
      <c r="L156" s="880"/>
      <c r="M156" s="881"/>
      <c r="N156" s="882"/>
    </row>
  </sheetData>
  <mergeCells count="9">
    <mergeCell ref="E153:K153"/>
    <mergeCell ref="E154:K154"/>
    <mergeCell ref="E155:K155"/>
    <mergeCell ref="D67:H67"/>
    <mergeCell ref="E148:K148"/>
    <mergeCell ref="E149:K149"/>
    <mergeCell ref="E150:K150"/>
    <mergeCell ref="E151:K151"/>
    <mergeCell ref="E152:K152"/>
  </mergeCells>
  <hyperlinks>
    <hyperlink ref="D5" r:id="rId1"/>
    <hyperlink ref="E69" r:id="rId2"/>
    <hyperlink ref="E88" r:id="rId3"/>
    <hyperlink ref="E109" r:id="rId4"/>
    <hyperlink ref="E129" r:id="rId5"/>
    <hyperlink ref="D6" r:id="rId6" display="NH Core Energy Efficiency Programs, NHPUC Docket No. DE 10-188, pp.90 Attachment D Customer Costs"/>
  </hyperlinks>
  <pageMargins left="0.25" right="0.28000000000000003" top="0.75" bottom="0.75" header="0.3" footer="0.3"/>
  <pageSetup paperSize="17" scale="70" orientation="portrait" r:id="rId7"/>
</worksheet>
</file>

<file path=xl/worksheets/sheet33.xml><?xml version="1.0" encoding="utf-8"?>
<worksheet xmlns="http://schemas.openxmlformats.org/spreadsheetml/2006/main" xmlns:r="http://schemas.openxmlformats.org/officeDocument/2006/relationships">
  <sheetPr>
    <tabColor theme="2" tint="-0.499984740745262"/>
  </sheetPr>
  <dimension ref="A1:J41"/>
  <sheetViews>
    <sheetView topLeftCell="A2" zoomScaleNormal="100" workbookViewId="0">
      <selection activeCell="Q44" sqref="Q44"/>
    </sheetView>
  </sheetViews>
  <sheetFormatPr defaultRowHeight="12.75" outlineLevelRow="1"/>
  <cols>
    <col min="1" max="1" width="9.140625" style="829"/>
    <col min="2" max="2" width="27.85546875" style="965" customWidth="1"/>
    <col min="3" max="3" width="13.140625" style="829" customWidth="1"/>
    <col min="4" max="4" width="16.85546875" style="829" bestFit="1" customWidth="1"/>
    <col min="5" max="6" width="14.28515625" style="829" bestFit="1" customWidth="1"/>
    <col min="7" max="8" width="15.28515625" style="829" bestFit="1" customWidth="1"/>
    <col min="9" max="9" width="10.140625" style="829" bestFit="1" customWidth="1"/>
    <col min="10" max="16384" width="9.140625" style="829"/>
  </cols>
  <sheetData>
    <row r="1" spans="1:10" s="824" customFormat="1" hidden="1" outlineLevel="1">
      <c r="C1" s="824">
        <v>3</v>
      </c>
      <c r="D1" s="824">
        <v>1</v>
      </c>
      <c r="E1" s="824">
        <v>4</v>
      </c>
      <c r="F1" s="824">
        <v>5</v>
      </c>
    </row>
    <row r="2" spans="1:10" collapsed="1">
      <c r="A2" s="826" t="s">
        <v>91</v>
      </c>
      <c r="B2" s="126" t="str">
        <f>'ORTP Summary'!C1</f>
        <v>ISO-NE ORTP 2013 Study</v>
      </c>
    </row>
    <row r="3" spans="1:10">
      <c r="A3" s="826" t="s">
        <v>92</v>
      </c>
      <c r="B3" s="830" t="s">
        <v>113</v>
      </c>
    </row>
    <row r="4" spans="1:10">
      <c r="A4" s="826" t="s">
        <v>114</v>
      </c>
      <c r="B4" s="831" t="s">
        <v>678</v>
      </c>
    </row>
    <row r="5" spans="1:10">
      <c r="A5" s="829" t="s">
        <v>547</v>
      </c>
      <c r="B5" s="964" t="s">
        <v>679</v>
      </c>
    </row>
    <row r="6" spans="1:10">
      <c r="B6" s="964" t="s">
        <v>680</v>
      </c>
    </row>
    <row r="8" spans="1:10">
      <c r="B8" s="1368" t="s">
        <v>681</v>
      </c>
      <c r="C8" s="1368"/>
      <c r="D8" s="1368"/>
      <c r="E8" s="1368"/>
      <c r="F8" s="1368"/>
      <c r="G8" s="1368"/>
      <c r="H8" s="1368"/>
    </row>
    <row r="9" spans="1:10">
      <c r="B9" s="965" t="s">
        <v>682</v>
      </c>
      <c r="C9" s="810" t="s">
        <v>683</v>
      </c>
      <c r="D9" s="810" t="s">
        <v>684</v>
      </c>
      <c r="E9" s="810" t="s">
        <v>685</v>
      </c>
      <c r="F9" s="829" t="s">
        <v>686</v>
      </c>
      <c r="J9" s="966"/>
    </row>
    <row r="10" spans="1:10">
      <c r="B10" s="965" t="s">
        <v>473</v>
      </c>
      <c r="C10" s="838">
        <v>6374703</v>
      </c>
      <c r="D10" s="838">
        <v>2820445</v>
      </c>
      <c r="E10" s="838">
        <v>160570</v>
      </c>
      <c r="F10" s="967">
        <v>25874806</v>
      </c>
    </row>
    <row r="11" spans="1:10">
      <c r="B11" s="965" t="s">
        <v>479</v>
      </c>
      <c r="C11" s="838">
        <v>4309622</v>
      </c>
      <c r="D11" s="838">
        <v>96021</v>
      </c>
      <c r="E11" s="838">
        <v>172883</v>
      </c>
      <c r="F11" s="967">
        <v>8632639</v>
      </c>
    </row>
    <row r="12" spans="1:10">
      <c r="B12" s="965" t="s">
        <v>687</v>
      </c>
      <c r="C12" s="838" t="s">
        <v>124</v>
      </c>
      <c r="D12" s="838">
        <v>99826</v>
      </c>
      <c r="E12" s="838">
        <v>28061</v>
      </c>
    </row>
    <row r="13" spans="1:10">
      <c r="B13" s="965" t="s">
        <v>461</v>
      </c>
      <c r="C13" s="838">
        <v>2926387</v>
      </c>
      <c r="D13" s="838">
        <v>1065739</v>
      </c>
      <c r="E13" s="838">
        <v>180215</v>
      </c>
      <c r="F13" s="967">
        <v>249568</v>
      </c>
      <c r="G13" s="965"/>
      <c r="H13" s="965"/>
    </row>
    <row r="14" spans="1:10">
      <c r="B14" s="965" t="s">
        <v>467</v>
      </c>
      <c r="C14" s="838">
        <v>1414300</v>
      </c>
      <c r="D14" s="838">
        <v>251974</v>
      </c>
      <c r="E14" s="838">
        <v>67593</v>
      </c>
      <c r="F14" s="967">
        <v>1248740</v>
      </c>
    </row>
    <row r="15" spans="1:10">
      <c r="B15" s="965" t="s">
        <v>562</v>
      </c>
      <c r="C15" s="838">
        <v>836333</v>
      </c>
      <c r="D15" s="838">
        <v>42542</v>
      </c>
      <c r="E15" s="838">
        <v>51436</v>
      </c>
      <c r="F15" s="829" t="s">
        <v>688</v>
      </c>
    </row>
    <row r="16" spans="1:10">
      <c r="C16" s="838"/>
      <c r="D16" s="838"/>
      <c r="E16" s="838"/>
      <c r="F16" s="838"/>
      <c r="G16" s="838"/>
      <c r="H16" s="967"/>
    </row>
    <row r="17" spans="2:9">
      <c r="B17" s="1369" t="s">
        <v>689</v>
      </c>
      <c r="C17" s="1369"/>
      <c r="D17" s="1369"/>
      <c r="E17" s="1369"/>
      <c r="F17" s="1369"/>
      <c r="G17" s="1369"/>
      <c r="H17" s="1369"/>
      <c r="I17" s="1369"/>
    </row>
    <row r="18" spans="2:9">
      <c r="C18" s="968" t="s">
        <v>531</v>
      </c>
      <c r="D18" s="968" t="s">
        <v>530</v>
      </c>
      <c r="E18" s="965"/>
      <c r="F18" s="829" t="s">
        <v>625</v>
      </c>
    </row>
    <row r="19" spans="2:9">
      <c r="C19" s="965" t="s">
        <v>690</v>
      </c>
      <c r="D19" s="965" t="s">
        <v>691</v>
      </c>
      <c r="E19" s="965" t="s">
        <v>692</v>
      </c>
      <c r="F19" s="829" t="s">
        <v>686</v>
      </c>
      <c r="G19" s="829" t="s">
        <v>693</v>
      </c>
      <c r="H19" s="829" t="s">
        <v>694</v>
      </c>
      <c r="I19" s="829" t="s">
        <v>695</v>
      </c>
    </row>
    <row r="20" spans="2:9">
      <c r="B20" s="965" t="s">
        <v>696</v>
      </c>
      <c r="C20" s="829" t="s">
        <v>529</v>
      </c>
      <c r="D20" s="829" t="s">
        <v>529</v>
      </c>
      <c r="E20" s="829" t="s">
        <v>697</v>
      </c>
      <c r="G20" s="829" t="s">
        <v>698</v>
      </c>
      <c r="H20" s="829" t="s">
        <v>699</v>
      </c>
      <c r="I20" s="829" t="s">
        <v>700</v>
      </c>
    </row>
    <row r="21" spans="2:9">
      <c r="B21" s="965" t="s">
        <v>473</v>
      </c>
      <c r="C21" s="967">
        <v>40565749</v>
      </c>
      <c r="D21" s="967">
        <v>592752866</v>
      </c>
      <c r="E21" s="967">
        <v>9355717</v>
      </c>
      <c r="F21" s="967">
        <v>25874806</v>
      </c>
      <c r="G21" s="967">
        <v>44208732</v>
      </c>
      <c r="H21" s="829">
        <v>5.8999999999999997E-2</v>
      </c>
      <c r="I21" s="829">
        <v>1.25</v>
      </c>
    </row>
    <row r="22" spans="2:9">
      <c r="B22" s="965" t="s">
        <v>479</v>
      </c>
      <c r="C22" s="967">
        <v>40685233</v>
      </c>
      <c r="D22" s="967">
        <v>467859118</v>
      </c>
      <c r="E22" s="967">
        <v>4578526</v>
      </c>
      <c r="F22" s="967">
        <v>8632639</v>
      </c>
      <c r="G22" s="967">
        <v>32001587</v>
      </c>
      <c r="H22" s="829">
        <v>2.8000000000000001E-2</v>
      </c>
      <c r="I22" s="829">
        <v>2.42</v>
      </c>
    </row>
    <row r="23" spans="2:9">
      <c r="B23" s="965" t="s">
        <v>687</v>
      </c>
      <c r="C23" s="829">
        <v>0</v>
      </c>
      <c r="D23" s="829">
        <v>0</v>
      </c>
      <c r="E23" s="967">
        <v>127888</v>
      </c>
    </row>
    <row r="24" spans="2:9">
      <c r="B24" s="965" t="s">
        <v>461</v>
      </c>
      <c r="C24" s="967">
        <v>134912741</v>
      </c>
      <c r="D24" s="967">
        <v>682426718</v>
      </c>
      <c r="E24" s="967">
        <v>4172340</v>
      </c>
      <c r="F24" s="967">
        <v>249568</v>
      </c>
      <c r="G24" s="967">
        <v>43701746</v>
      </c>
      <c r="H24" s="829">
        <v>6.0000000000000001E-3</v>
      </c>
      <c r="I24" s="829">
        <v>9.8800000000000008</v>
      </c>
    </row>
    <row r="25" spans="2:9">
      <c r="B25" s="965" t="s">
        <v>467</v>
      </c>
      <c r="C25" s="967">
        <v>5332000</v>
      </c>
      <c r="D25" s="967">
        <v>60675000</v>
      </c>
      <c r="E25" s="967">
        <v>1733867</v>
      </c>
      <c r="F25" s="967">
        <v>1248740</v>
      </c>
      <c r="G25" s="967">
        <v>4410942</v>
      </c>
      <c r="H25" s="829">
        <v>4.9000000000000002E-2</v>
      </c>
      <c r="I25" s="829">
        <v>1.48</v>
      </c>
    </row>
    <row r="26" spans="2:9">
      <c r="B26" s="965" t="s">
        <v>562</v>
      </c>
      <c r="C26" s="967">
        <v>1037695</v>
      </c>
      <c r="D26" s="967">
        <v>16298995</v>
      </c>
      <c r="E26" s="967">
        <v>930311</v>
      </c>
      <c r="F26" s="829" t="s">
        <v>688</v>
      </c>
      <c r="G26" s="967">
        <v>1849337</v>
      </c>
      <c r="H26" s="829">
        <v>5.7000000000000002E-2</v>
      </c>
      <c r="I26" s="829">
        <v>1.99</v>
      </c>
    </row>
    <row r="28" spans="2:9">
      <c r="B28" s="965" t="s">
        <v>701</v>
      </c>
    </row>
    <row r="29" spans="2:9">
      <c r="C29" s="967"/>
      <c r="D29" s="967"/>
      <c r="E29" s="967"/>
      <c r="F29" s="967"/>
    </row>
    <row r="30" spans="2:9">
      <c r="B30" s="965" t="s">
        <v>702</v>
      </c>
      <c r="C30" s="967"/>
      <c r="D30" s="967"/>
      <c r="E30" s="967"/>
      <c r="F30" s="967"/>
    </row>
    <row r="31" spans="2:9">
      <c r="B31" s="965" t="s">
        <v>703</v>
      </c>
      <c r="C31" s="967"/>
      <c r="D31" s="967"/>
      <c r="E31" s="967"/>
      <c r="F31" s="967"/>
    </row>
    <row r="32" spans="2:9">
      <c r="D32" s="967"/>
      <c r="E32" s="967"/>
    </row>
    <row r="33" spans="2:6">
      <c r="B33" s="832" t="s">
        <v>704</v>
      </c>
      <c r="C33" s="967"/>
      <c r="D33" s="967"/>
      <c r="E33" s="967"/>
      <c r="F33" s="967"/>
    </row>
    <row r="34" spans="2:6">
      <c r="E34" s="967"/>
    </row>
    <row r="35" spans="2:6" ht="29.25" customHeight="1">
      <c r="B35" s="1370" t="s">
        <v>705</v>
      </c>
      <c r="C35" s="1370"/>
      <c r="D35" s="1370"/>
      <c r="E35" s="1370"/>
      <c r="F35" s="1370"/>
    </row>
    <row r="36" spans="2:6">
      <c r="C36" s="967"/>
      <c r="D36" s="967"/>
      <c r="E36" s="967"/>
      <c r="F36" s="967"/>
    </row>
    <row r="37" spans="2:6" ht="28.5" customHeight="1">
      <c r="B37" s="1371" t="s">
        <v>706</v>
      </c>
      <c r="C37" s="1371"/>
      <c r="D37" s="1371"/>
      <c r="E37" s="1371"/>
      <c r="F37" s="1371"/>
    </row>
    <row r="38" spans="2:6">
      <c r="E38" s="967"/>
    </row>
    <row r="39" spans="2:6" ht="30" customHeight="1">
      <c r="B39" s="1371" t="s">
        <v>707</v>
      </c>
      <c r="C39" s="1371"/>
      <c r="D39" s="1371"/>
      <c r="E39" s="1371"/>
      <c r="F39" s="1371"/>
    </row>
    <row r="41" spans="2:6">
      <c r="B41" s="965" t="s">
        <v>708</v>
      </c>
    </row>
  </sheetData>
  <mergeCells count="5">
    <mergeCell ref="B8:H8"/>
    <mergeCell ref="B17:I17"/>
    <mergeCell ref="B35:F35"/>
    <mergeCell ref="B37:F37"/>
    <mergeCell ref="B39:F39"/>
  </mergeCells>
  <hyperlinks>
    <hyperlink ref="B5" r:id="rId1" display="Source: Efficiency Maine 2012 Annual Report Appendix B p56 Efficiency Maine Program Impacts"/>
    <hyperlink ref="B6" r:id="rId2" display="Source: Efficiency Maine 2012 Annual Report Appendix B p57 Efficiency Maine Program Expenditures"/>
  </hyperlinks>
  <pageMargins left="0.7" right="0.7" top="0.75" bottom="0.75" header="0.3" footer="0.3"/>
  <pageSetup orientation="portrait" r:id="rId3"/>
</worksheet>
</file>

<file path=xl/worksheets/sheet34.xml><?xml version="1.0" encoding="utf-8"?>
<worksheet xmlns="http://schemas.openxmlformats.org/spreadsheetml/2006/main" xmlns:r="http://schemas.openxmlformats.org/officeDocument/2006/relationships">
  <sheetPr>
    <tabColor theme="2" tint="-0.499984740745262"/>
  </sheetPr>
  <dimension ref="A1:P36"/>
  <sheetViews>
    <sheetView topLeftCell="A2" workbookViewId="0">
      <selection activeCell="B2" sqref="B2"/>
    </sheetView>
  </sheetViews>
  <sheetFormatPr defaultRowHeight="12.75" outlineLevelRow="1"/>
  <cols>
    <col min="1" max="1" width="9.85546875" style="832" bestFit="1" customWidth="1"/>
    <col min="2" max="2" width="24.7109375" style="832" bestFit="1" customWidth="1"/>
    <col min="3" max="3" width="24.140625" style="832" bestFit="1" customWidth="1"/>
    <col min="4" max="4" width="9" style="832" bestFit="1" customWidth="1"/>
    <col min="5" max="5" width="8.42578125" style="832" bestFit="1" customWidth="1"/>
    <col min="6" max="6" width="11.28515625" style="832" bestFit="1" customWidth="1"/>
    <col min="7" max="7" width="9.7109375" style="832" customWidth="1"/>
    <col min="8" max="8" width="9.5703125" style="832" bestFit="1" customWidth="1"/>
    <col min="9" max="9" width="9" style="832" bestFit="1" customWidth="1"/>
    <col min="10" max="10" width="8.42578125" style="832" bestFit="1" customWidth="1"/>
    <col min="11" max="12" width="12.85546875" style="832" customWidth="1"/>
    <col min="13" max="13" width="9.5703125" style="976" customWidth="1"/>
    <col min="14" max="14" width="9.85546875" style="832" customWidth="1"/>
    <col min="15" max="15" width="9.85546875" style="832" bestFit="1" customWidth="1"/>
    <col min="16" max="16384" width="9.140625" style="832"/>
  </cols>
  <sheetData>
    <row r="1" spans="1:16" s="969" customFormat="1" hidden="1" outlineLevel="1">
      <c r="C1" s="970"/>
      <c r="D1" s="970">
        <v>1</v>
      </c>
      <c r="E1" s="970">
        <v>2</v>
      </c>
      <c r="F1" s="970">
        <v>1</v>
      </c>
      <c r="G1" s="970">
        <v>1</v>
      </c>
      <c r="H1" s="970">
        <v>3</v>
      </c>
      <c r="I1" s="970">
        <v>4</v>
      </c>
      <c r="J1" s="970">
        <v>4</v>
      </c>
      <c r="K1" s="970">
        <v>4</v>
      </c>
      <c r="L1" s="970">
        <v>5</v>
      </c>
      <c r="M1" s="971"/>
    </row>
    <row r="2" spans="1:16" s="974" customFormat="1" collapsed="1">
      <c r="A2" s="826" t="s">
        <v>91</v>
      </c>
      <c r="B2" s="126" t="str">
        <f>'ORTP Summary'!C1</f>
        <v>ISO-NE ORTP 2013 Study</v>
      </c>
      <c r="C2" s="972"/>
      <c r="D2" s="972"/>
      <c r="E2" s="972"/>
      <c r="F2" s="972"/>
      <c r="G2" s="972"/>
      <c r="H2" s="972"/>
      <c r="I2" s="972"/>
      <c r="J2" s="972"/>
      <c r="K2" s="972"/>
      <c r="L2" s="972"/>
      <c r="M2" s="973"/>
    </row>
    <row r="3" spans="1:16" s="974" customFormat="1">
      <c r="A3" s="826" t="s">
        <v>92</v>
      </c>
      <c r="B3" s="830" t="s">
        <v>113</v>
      </c>
      <c r="C3" s="972"/>
      <c r="D3" s="972"/>
      <c r="E3" s="972"/>
      <c r="F3" s="972"/>
      <c r="G3" s="972"/>
      <c r="H3" s="972"/>
      <c r="I3" s="972"/>
      <c r="J3" s="972"/>
      <c r="K3" s="972"/>
      <c r="L3" s="972"/>
      <c r="M3" s="973"/>
    </row>
    <row r="4" spans="1:16" s="974" customFormat="1">
      <c r="A4" s="826" t="s">
        <v>114</v>
      </c>
      <c r="B4" s="831" t="s">
        <v>709</v>
      </c>
      <c r="C4" s="972"/>
      <c r="D4" s="972"/>
      <c r="E4" s="972"/>
      <c r="F4" s="972"/>
      <c r="G4" s="972"/>
      <c r="H4" s="972"/>
      <c r="I4" s="972"/>
      <c r="J4" s="972"/>
      <c r="K4" s="972"/>
      <c r="L4" s="972"/>
      <c r="M4" s="973"/>
    </row>
    <row r="5" spans="1:16">
      <c r="A5" s="832" t="s">
        <v>547</v>
      </c>
      <c r="B5" s="975" t="s">
        <v>710</v>
      </c>
    </row>
    <row r="6" spans="1:16">
      <c r="B6" s="975"/>
    </row>
    <row r="7" spans="1:16">
      <c r="C7" s="1372" t="s">
        <v>711</v>
      </c>
      <c r="D7" s="1372"/>
      <c r="E7" s="1372"/>
      <c r="F7" s="1372"/>
      <c r="G7" s="1372"/>
      <c r="H7" s="1372"/>
      <c r="I7" s="1372"/>
      <c r="J7" s="1372"/>
      <c r="K7" s="1372"/>
      <c r="L7" s="972"/>
      <c r="M7" s="973"/>
    </row>
    <row r="8" spans="1:16">
      <c r="C8" s="1372" t="s">
        <v>712</v>
      </c>
      <c r="D8" s="1372"/>
      <c r="E8" s="1372"/>
      <c r="F8" s="1372"/>
      <c r="G8" s="1372"/>
      <c r="H8" s="1372"/>
      <c r="I8" s="1372"/>
      <c r="J8" s="1372"/>
      <c r="K8" s="1372"/>
      <c r="L8" s="972"/>
      <c r="M8" s="973"/>
    </row>
    <row r="9" spans="1:16" ht="38.25">
      <c r="C9" s="977" t="s">
        <v>713</v>
      </c>
      <c r="D9" s="978" t="s">
        <v>714</v>
      </c>
      <c r="E9" s="972" t="s">
        <v>715</v>
      </c>
      <c r="F9" s="978" t="s">
        <v>716</v>
      </c>
      <c r="G9" s="972" t="s">
        <v>717</v>
      </c>
      <c r="H9" s="979" t="s">
        <v>718</v>
      </c>
      <c r="I9" s="979" t="s">
        <v>600</v>
      </c>
      <c r="J9" s="979" t="s">
        <v>654</v>
      </c>
      <c r="K9" s="972" t="s">
        <v>719</v>
      </c>
      <c r="L9" s="972" t="s">
        <v>625</v>
      </c>
      <c r="M9" s="972" t="s">
        <v>720</v>
      </c>
      <c r="N9" s="972" t="s">
        <v>531</v>
      </c>
      <c r="O9" s="972" t="s">
        <v>530</v>
      </c>
      <c r="P9" s="965"/>
    </row>
    <row r="10" spans="1:16" ht="18" customHeight="1">
      <c r="B10" s="980" t="s">
        <v>517</v>
      </c>
      <c r="C10" s="832" t="s">
        <v>721</v>
      </c>
      <c r="D10" s="981">
        <v>144</v>
      </c>
      <c r="E10" s="981">
        <v>2</v>
      </c>
      <c r="F10" s="981">
        <v>865</v>
      </c>
      <c r="G10" s="981">
        <v>9</v>
      </c>
      <c r="H10" s="981">
        <v>3180</v>
      </c>
      <c r="I10" s="981">
        <v>600</v>
      </c>
      <c r="J10" s="981">
        <v>30</v>
      </c>
      <c r="K10" s="981">
        <v>20</v>
      </c>
      <c r="L10" s="981">
        <v>3103</v>
      </c>
      <c r="M10" s="982">
        <v>3271</v>
      </c>
      <c r="N10" s="842">
        <v>45894</v>
      </c>
      <c r="O10" s="842">
        <v>214581</v>
      </c>
    </row>
    <row r="11" spans="1:16" ht="18" customHeight="1">
      <c r="B11" s="980" t="s">
        <v>459</v>
      </c>
      <c r="C11" s="979" t="s">
        <v>459</v>
      </c>
      <c r="D11" s="983">
        <v>174</v>
      </c>
      <c r="E11" s="983">
        <v>3</v>
      </c>
      <c r="F11" s="983">
        <v>35</v>
      </c>
      <c r="G11" s="983">
        <v>28</v>
      </c>
      <c r="H11" s="983">
        <v>981</v>
      </c>
      <c r="I11" s="983">
        <v>35</v>
      </c>
      <c r="J11" s="983">
        <v>0</v>
      </c>
      <c r="K11" s="983">
        <v>5</v>
      </c>
      <c r="L11" s="983">
        <v>749</v>
      </c>
      <c r="M11" s="984">
        <v>356</v>
      </c>
      <c r="N11" s="984">
        <v>1718</v>
      </c>
      <c r="O11" s="984">
        <v>29901</v>
      </c>
    </row>
    <row r="12" spans="1:16" ht="18" customHeight="1">
      <c r="B12" s="980" t="s">
        <v>474</v>
      </c>
      <c r="C12" s="979" t="s">
        <v>722</v>
      </c>
      <c r="D12" s="983">
        <v>590</v>
      </c>
      <c r="E12" s="983">
        <v>25</v>
      </c>
      <c r="F12" s="983">
        <v>364</v>
      </c>
      <c r="G12" s="983">
        <v>350</v>
      </c>
      <c r="H12" s="983">
        <v>9996</v>
      </c>
      <c r="I12" s="983">
        <v>325</v>
      </c>
      <c r="J12" s="983">
        <v>75</v>
      </c>
      <c r="K12" s="983">
        <v>32</v>
      </c>
      <c r="L12" s="983">
        <v>3638</v>
      </c>
      <c r="M12" s="984">
        <v>2631</v>
      </c>
      <c r="N12" s="984">
        <v>19832</v>
      </c>
      <c r="O12" s="984">
        <v>259149</v>
      </c>
    </row>
    <row r="13" spans="1:16" ht="18" customHeight="1">
      <c r="B13" s="980" t="s">
        <v>518</v>
      </c>
      <c r="C13" s="977" t="s">
        <v>518</v>
      </c>
      <c r="D13" s="983">
        <v>662</v>
      </c>
      <c r="E13" s="983">
        <v>30</v>
      </c>
      <c r="F13" s="983">
        <v>107</v>
      </c>
      <c r="G13" s="983">
        <v>442</v>
      </c>
      <c r="H13" s="983">
        <v>7767</v>
      </c>
      <c r="I13" s="983">
        <v>275</v>
      </c>
      <c r="J13" s="983">
        <v>50</v>
      </c>
      <c r="K13" s="983">
        <v>68</v>
      </c>
      <c r="L13" s="983">
        <v>979</v>
      </c>
      <c r="M13" s="984">
        <v>929</v>
      </c>
      <c r="N13" s="984">
        <v>13728</v>
      </c>
      <c r="O13" s="984">
        <v>116400</v>
      </c>
    </row>
    <row r="14" spans="1:16" ht="18" customHeight="1">
      <c r="B14" s="985" t="s">
        <v>480</v>
      </c>
      <c r="C14" s="789" t="s">
        <v>723</v>
      </c>
      <c r="D14" s="983">
        <v>950</v>
      </c>
      <c r="E14" s="983">
        <v>10</v>
      </c>
      <c r="F14" s="983">
        <v>867</v>
      </c>
      <c r="G14" s="983">
        <v>321</v>
      </c>
      <c r="H14" s="983">
        <v>6137</v>
      </c>
      <c r="I14" s="983">
        <v>100</v>
      </c>
      <c r="J14" s="983">
        <v>70</v>
      </c>
      <c r="K14" s="983">
        <v>48</v>
      </c>
      <c r="L14" s="983">
        <v>323</v>
      </c>
      <c r="M14" s="984">
        <v>4375</v>
      </c>
      <c r="N14" s="984">
        <v>20055</v>
      </c>
      <c r="O14" s="984">
        <v>307732</v>
      </c>
    </row>
    <row r="15" spans="1:16" ht="18" customHeight="1">
      <c r="C15" s="979" t="s">
        <v>724</v>
      </c>
      <c r="D15" s="983">
        <v>1509</v>
      </c>
      <c r="E15" s="986">
        <v>20</v>
      </c>
      <c r="F15" s="986">
        <v>377</v>
      </c>
      <c r="G15" s="986">
        <v>503</v>
      </c>
      <c r="H15" s="983">
        <v>10563</v>
      </c>
      <c r="I15" s="983">
        <v>160</v>
      </c>
      <c r="J15" s="983">
        <v>30</v>
      </c>
      <c r="K15" s="983">
        <v>80</v>
      </c>
      <c r="L15" s="986">
        <v>17747</v>
      </c>
      <c r="M15" s="984">
        <v>6027</v>
      </c>
      <c r="N15" s="984">
        <v>42199</v>
      </c>
      <c r="O15" s="984">
        <v>521131</v>
      </c>
    </row>
    <row r="16" spans="1:16" ht="18" customHeight="1">
      <c r="C16" s="987" t="s">
        <v>725</v>
      </c>
      <c r="D16" s="986">
        <v>517</v>
      </c>
      <c r="E16" s="983">
        <v>10</v>
      </c>
      <c r="F16" s="983">
        <v>638</v>
      </c>
      <c r="G16" s="983">
        <v>52</v>
      </c>
      <c r="H16" s="986">
        <v>2844</v>
      </c>
      <c r="I16" s="986">
        <v>60</v>
      </c>
      <c r="J16" s="986">
        <v>15</v>
      </c>
      <c r="K16" s="986">
        <v>35</v>
      </c>
      <c r="L16" s="983">
        <v>3261</v>
      </c>
      <c r="M16" s="982">
        <v>2349</v>
      </c>
      <c r="N16" s="984">
        <v>17350</v>
      </c>
      <c r="O16" s="842">
        <v>144421</v>
      </c>
    </row>
    <row r="17" spans="2:15" ht="18" customHeight="1">
      <c r="C17" s="987" t="s">
        <v>726</v>
      </c>
      <c r="D17" s="983">
        <v>45</v>
      </c>
      <c r="E17" s="983">
        <v>2</v>
      </c>
      <c r="F17" s="983">
        <v>10</v>
      </c>
      <c r="G17" s="983">
        <v>2</v>
      </c>
      <c r="H17" s="983">
        <v>394</v>
      </c>
      <c r="I17" s="983">
        <v>20</v>
      </c>
      <c r="J17" s="983">
        <v>3</v>
      </c>
      <c r="K17" s="983">
        <v>10</v>
      </c>
      <c r="L17" s="983">
        <v>51</v>
      </c>
      <c r="M17" s="982"/>
      <c r="N17" s="984">
        <v>1896</v>
      </c>
      <c r="O17" s="842">
        <v>9479</v>
      </c>
    </row>
    <row r="18" spans="2:15" ht="18" customHeight="1">
      <c r="B18" s="980" t="s">
        <v>485</v>
      </c>
      <c r="C18" s="988" t="s">
        <v>727</v>
      </c>
      <c r="D18" s="983">
        <f>SUM(D15:D17)</f>
        <v>2071</v>
      </c>
      <c r="E18" s="983">
        <f t="shared" ref="E18:O18" si="0">SUM(E15:E17)</f>
        <v>32</v>
      </c>
      <c r="F18" s="983">
        <f t="shared" si="0"/>
        <v>1025</v>
      </c>
      <c r="G18" s="983">
        <f t="shared" si="0"/>
        <v>557</v>
      </c>
      <c r="H18" s="983">
        <f t="shared" si="0"/>
        <v>13801</v>
      </c>
      <c r="I18" s="983">
        <f t="shared" si="0"/>
        <v>240</v>
      </c>
      <c r="J18" s="983">
        <f t="shared" si="0"/>
        <v>48</v>
      </c>
      <c r="K18" s="983">
        <f t="shared" si="0"/>
        <v>125</v>
      </c>
      <c r="L18" s="983">
        <f t="shared" si="0"/>
        <v>21059</v>
      </c>
      <c r="M18" s="984">
        <f t="shared" si="0"/>
        <v>8376</v>
      </c>
      <c r="N18" s="989">
        <f t="shared" si="0"/>
        <v>61445</v>
      </c>
      <c r="O18" s="989">
        <f t="shared" si="0"/>
        <v>675031</v>
      </c>
    </row>
    <row r="19" spans="2:15" ht="18" customHeight="1">
      <c r="B19" s="980" t="s">
        <v>488</v>
      </c>
      <c r="C19" s="990" t="s">
        <v>728</v>
      </c>
      <c r="D19" s="983">
        <v>683</v>
      </c>
      <c r="E19" s="986">
        <v>10</v>
      </c>
      <c r="F19" s="986">
        <v>237</v>
      </c>
      <c r="G19" s="986">
        <v>274</v>
      </c>
      <c r="H19" s="983">
        <v>8619</v>
      </c>
      <c r="I19" s="983">
        <v>300</v>
      </c>
      <c r="J19" s="983">
        <v>17</v>
      </c>
      <c r="K19" s="983">
        <v>1500</v>
      </c>
      <c r="L19" s="986">
        <v>11897</v>
      </c>
      <c r="M19" s="982">
        <v>4828</v>
      </c>
      <c r="N19" s="984">
        <v>28138</v>
      </c>
      <c r="O19" s="984">
        <v>344349</v>
      </c>
    </row>
    <row r="20" spans="2:15" ht="18" customHeight="1">
      <c r="C20" s="978"/>
      <c r="D20" s="991"/>
      <c r="E20" s="991"/>
      <c r="F20" s="991"/>
      <c r="G20" s="991"/>
      <c r="H20" s="991"/>
      <c r="I20" s="991"/>
      <c r="J20" s="991"/>
      <c r="K20" s="991"/>
      <c r="L20" s="991"/>
      <c r="M20" s="992"/>
      <c r="N20" s="984"/>
      <c r="O20" s="984"/>
    </row>
    <row r="21" spans="2:15" ht="12.75" customHeight="1">
      <c r="B21" s="993"/>
      <c r="D21" s="991"/>
      <c r="E21" s="991"/>
      <c r="F21" s="991"/>
      <c r="G21" s="991"/>
      <c r="H21" s="991"/>
      <c r="I21" s="991"/>
      <c r="J21" s="991"/>
      <c r="K21" s="991"/>
      <c r="L21" s="991"/>
      <c r="M21" s="992"/>
      <c r="N21" s="984"/>
      <c r="O21" s="984"/>
    </row>
    <row r="22" spans="2:15" ht="12.75" customHeight="1">
      <c r="C22" s="994"/>
      <c r="D22" s="991"/>
      <c r="E22" s="991"/>
      <c r="F22" s="991"/>
      <c r="G22" s="991"/>
      <c r="H22" s="991"/>
      <c r="I22" s="991"/>
      <c r="J22" s="991"/>
      <c r="K22" s="991"/>
      <c r="L22" s="991"/>
      <c r="N22" s="984"/>
      <c r="O22" s="984"/>
    </row>
    <row r="23" spans="2:15" ht="12.75" customHeight="1">
      <c r="C23" s="995"/>
      <c r="D23" s="991"/>
      <c r="E23" s="991"/>
      <c r="F23" s="991"/>
      <c r="G23" s="991"/>
      <c r="H23" s="991"/>
      <c r="I23" s="991"/>
      <c r="J23" s="991"/>
      <c r="K23" s="991"/>
      <c r="L23" s="991"/>
      <c r="M23" s="992"/>
      <c r="N23" s="984"/>
      <c r="O23" s="984"/>
    </row>
    <row r="24" spans="2:15" ht="12.75" customHeight="1">
      <c r="C24" s="995"/>
      <c r="D24" s="991"/>
      <c r="E24" s="991"/>
      <c r="F24" s="991"/>
      <c r="G24" s="991"/>
      <c r="H24" s="991"/>
      <c r="I24" s="991"/>
      <c r="J24" s="991"/>
      <c r="K24" s="991"/>
      <c r="L24" s="996"/>
      <c r="M24" s="992"/>
      <c r="N24" s="984"/>
      <c r="O24" s="984"/>
    </row>
    <row r="25" spans="2:15" ht="12.75" customHeight="1">
      <c r="C25" s="995"/>
      <c r="D25" s="991"/>
      <c r="E25" s="990"/>
      <c r="F25" s="990"/>
      <c r="G25" s="990"/>
      <c r="H25" s="991"/>
      <c r="I25" s="991"/>
      <c r="J25" s="991"/>
      <c r="K25" s="991"/>
      <c r="L25" s="996"/>
      <c r="M25" s="992"/>
      <c r="N25" s="984"/>
      <c r="O25" s="984"/>
    </row>
    <row r="26" spans="2:15" ht="12.75" customHeight="1">
      <c r="C26" s="990"/>
      <c r="D26" s="996"/>
      <c r="E26" s="990"/>
      <c r="F26" s="990"/>
      <c r="G26" s="990"/>
      <c r="H26" s="990"/>
      <c r="I26" s="996"/>
      <c r="J26" s="990"/>
      <c r="K26" s="996"/>
      <c r="L26" s="990"/>
      <c r="M26" s="973"/>
    </row>
    <row r="27" spans="2:15" ht="12.75" customHeight="1">
      <c r="C27" s="990"/>
      <c r="D27" s="996"/>
      <c r="E27" s="990"/>
      <c r="F27" s="990"/>
      <c r="G27" s="990"/>
      <c r="H27" s="990"/>
      <c r="I27" s="996"/>
      <c r="J27" s="990"/>
      <c r="K27" s="996"/>
      <c r="L27" s="990"/>
      <c r="M27" s="973"/>
    </row>
    <row r="28" spans="2:15" ht="12.75" customHeight="1">
      <c r="D28" s="990"/>
      <c r="E28" s="990"/>
      <c r="F28" s="990"/>
      <c r="G28" s="990"/>
      <c r="H28" s="990"/>
      <c r="I28" s="990"/>
      <c r="J28" s="990"/>
      <c r="K28" s="990"/>
      <c r="M28" s="973"/>
    </row>
    <row r="29" spans="2:15" ht="12.75" customHeight="1">
      <c r="D29" s="990"/>
      <c r="H29" s="990"/>
      <c r="I29" s="990"/>
      <c r="J29" s="990"/>
      <c r="K29" s="990"/>
      <c r="M29" s="973"/>
    </row>
    <row r="30" spans="2:15" ht="12.75" customHeight="1"/>
    <row r="31" spans="2:15" ht="12.75" customHeight="1"/>
    <row r="32" spans="2:15" ht="12.75" customHeight="1"/>
    <row r="33" ht="12.75" customHeight="1"/>
    <row r="34" ht="12.75" customHeight="1"/>
    <row r="35" ht="12.75" customHeight="1"/>
    <row r="36" ht="12.75" customHeight="1"/>
  </sheetData>
  <mergeCells count="2">
    <mergeCell ref="C7:K7"/>
    <mergeCell ref="C8:K8"/>
  </mergeCells>
  <hyperlinks>
    <hyperlink ref="B5" r:id="rId1"/>
  </hyperlinks>
  <pageMargins left="0.7" right="0.7" top="0.75" bottom="0.75" header="0.3" footer="0.3"/>
  <pageSetup orientation="portrait" r:id="rId2"/>
</worksheet>
</file>

<file path=xl/worksheets/sheet35.xml><?xml version="1.0" encoding="utf-8"?>
<worksheet xmlns="http://schemas.openxmlformats.org/spreadsheetml/2006/main" xmlns:r="http://schemas.openxmlformats.org/officeDocument/2006/relationships">
  <sheetPr>
    <tabColor theme="2" tint="-0.499984740745262"/>
  </sheetPr>
  <dimension ref="A1:P63"/>
  <sheetViews>
    <sheetView topLeftCell="A2" zoomScaleNormal="100" workbookViewId="0">
      <selection activeCell="B3" sqref="B3"/>
    </sheetView>
  </sheetViews>
  <sheetFormatPr defaultRowHeight="12.75" outlineLevelRow="1"/>
  <cols>
    <col min="1" max="1" width="9.85546875" style="850" bestFit="1" customWidth="1"/>
    <col min="2" max="2" width="28.42578125" style="850" customWidth="1"/>
    <col min="3" max="3" width="11.7109375" style="850" bestFit="1" customWidth="1"/>
    <col min="4" max="4" width="10.42578125" style="850" bestFit="1" customWidth="1"/>
    <col min="5" max="5" width="11.7109375" style="850" bestFit="1" customWidth="1"/>
    <col min="6" max="6" width="10.42578125" style="850" bestFit="1" customWidth="1"/>
    <col min="7" max="7" width="12.5703125" style="850" bestFit="1" customWidth="1"/>
    <col min="8" max="8" width="10.42578125" style="850" bestFit="1" customWidth="1"/>
    <col min="9" max="9" width="8.5703125" style="850" customWidth="1"/>
    <col min="10" max="10" width="12" style="850" customWidth="1"/>
    <col min="11" max="11" width="13.7109375" style="850" bestFit="1" customWidth="1"/>
    <col min="12" max="12" width="12.5703125" style="850" bestFit="1" customWidth="1"/>
    <col min="13" max="13" width="13.85546875" style="850" customWidth="1"/>
    <col min="14" max="14" width="13.5703125" style="850" customWidth="1"/>
    <col min="15" max="15" width="12.85546875" style="850" customWidth="1"/>
    <col min="16" max="16384" width="9.140625" style="850"/>
  </cols>
  <sheetData>
    <row r="1" spans="1:16" s="871" customFormat="1" hidden="1" outlineLevel="1">
      <c r="C1" s="997">
        <v>1</v>
      </c>
      <c r="D1" s="997">
        <v>2</v>
      </c>
      <c r="E1" s="997">
        <v>1</v>
      </c>
      <c r="F1" s="997">
        <v>1</v>
      </c>
      <c r="G1" s="997">
        <v>3</v>
      </c>
      <c r="H1" s="997">
        <v>4</v>
      </c>
      <c r="I1" s="997">
        <v>4</v>
      </c>
      <c r="J1" s="997">
        <v>4</v>
      </c>
      <c r="K1" s="997"/>
      <c r="L1" s="997">
        <v>5</v>
      </c>
      <c r="M1" s="997"/>
      <c r="N1" s="998"/>
    </row>
    <row r="2" spans="1:16" s="810" customFormat="1" collapsed="1">
      <c r="A2" s="826" t="s">
        <v>91</v>
      </c>
      <c r="B2" s="126" t="str">
        <f>'ORTP Summary'!C1</f>
        <v>ISO-NE ORTP 2013 Study</v>
      </c>
      <c r="C2" s="809"/>
      <c r="D2" s="809"/>
      <c r="E2" s="809"/>
      <c r="F2" s="809"/>
      <c r="G2" s="809"/>
      <c r="H2" s="809"/>
      <c r="I2" s="809"/>
      <c r="J2" s="809"/>
      <c r="K2" s="809"/>
      <c r="L2" s="809"/>
      <c r="M2" s="999"/>
      <c r="N2" s="1000"/>
    </row>
    <row r="3" spans="1:16" s="810" customFormat="1">
      <c r="A3" s="826" t="s">
        <v>92</v>
      </c>
      <c r="B3" s="830" t="s">
        <v>113</v>
      </c>
      <c r="C3" s="809"/>
      <c r="D3" s="809"/>
      <c r="E3" s="809"/>
      <c r="F3" s="809"/>
      <c r="G3" s="809"/>
      <c r="H3" s="809"/>
      <c r="I3" s="809"/>
      <c r="J3" s="809"/>
      <c r="K3" s="809"/>
      <c r="L3" s="809"/>
      <c r="M3" s="999"/>
      <c r="N3" s="1000"/>
    </row>
    <row r="4" spans="1:16">
      <c r="A4" s="826" t="s">
        <v>114</v>
      </c>
      <c r="B4" s="831" t="s">
        <v>729</v>
      </c>
    </row>
    <row r="5" spans="1:16">
      <c r="A5" s="832" t="s">
        <v>547</v>
      </c>
      <c r="B5" s="1001" t="s">
        <v>730</v>
      </c>
      <c r="C5" s="1000"/>
      <c r="D5" s="1000"/>
      <c r="E5" s="1000"/>
      <c r="F5" s="1000"/>
      <c r="G5" s="1000"/>
      <c r="H5" s="1000"/>
      <c r="I5" s="1000"/>
      <c r="J5" s="1000"/>
      <c r="K5" s="1000"/>
      <c r="L5" s="1000"/>
      <c r="M5" s="1000"/>
    </row>
    <row r="6" spans="1:16">
      <c r="A6" s="832"/>
      <c r="B6" s="1001"/>
      <c r="C6" s="1000"/>
      <c r="D6" s="1000"/>
      <c r="E6" s="1000"/>
      <c r="F6" s="1000"/>
      <c r="G6" s="1000"/>
      <c r="H6" s="1000"/>
      <c r="I6" s="1000"/>
      <c r="J6" s="1000"/>
      <c r="K6" s="1000"/>
      <c r="L6" s="1000"/>
      <c r="M6" s="1000"/>
    </row>
    <row r="7" spans="1:16">
      <c r="B7" s="1373" t="s">
        <v>731</v>
      </c>
      <c r="C7" s="1373"/>
      <c r="D7" s="1373"/>
      <c r="E7" s="1373"/>
      <c r="F7" s="1373"/>
      <c r="G7" s="1373"/>
      <c r="H7" s="1373"/>
      <c r="I7" s="1373"/>
      <c r="J7" s="1373"/>
      <c r="K7" s="1373"/>
      <c r="L7" s="1373"/>
      <c r="M7" s="1373"/>
      <c r="N7" s="1373"/>
    </row>
    <row r="8" spans="1:16" s="829" customFormat="1" ht="25.5">
      <c r="C8" s="1002" t="s">
        <v>732</v>
      </c>
      <c r="D8" s="1002" t="s">
        <v>715</v>
      </c>
      <c r="E8" s="1003" t="s">
        <v>716</v>
      </c>
      <c r="F8" s="1004" t="s">
        <v>717</v>
      </c>
      <c r="G8" s="1005" t="s">
        <v>733</v>
      </c>
      <c r="H8" s="1005" t="s">
        <v>734</v>
      </c>
      <c r="I8" s="1005" t="s">
        <v>735</v>
      </c>
      <c r="J8" s="1004" t="s">
        <v>736</v>
      </c>
      <c r="K8" s="1006" t="s">
        <v>737</v>
      </c>
      <c r="L8" s="1006" t="s">
        <v>625</v>
      </c>
      <c r="M8" s="1007" t="s">
        <v>738</v>
      </c>
      <c r="N8" s="1007" t="s">
        <v>739</v>
      </c>
      <c r="O8" s="1007" t="s">
        <v>740</v>
      </c>
      <c r="P8" s="965"/>
    </row>
    <row r="9" spans="1:16" ht="12.75" customHeight="1">
      <c r="B9" s="1008" t="s">
        <v>741</v>
      </c>
      <c r="C9" s="1009">
        <v>184412</v>
      </c>
      <c r="D9" s="1009">
        <v>4993</v>
      </c>
      <c r="E9" s="1009">
        <v>190000</v>
      </c>
      <c r="F9" s="1009" t="s">
        <v>275</v>
      </c>
      <c r="G9" s="1009">
        <v>1106000</v>
      </c>
      <c r="H9" s="1009">
        <v>260000</v>
      </c>
      <c r="I9" s="1009">
        <v>5803</v>
      </c>
      <c r="J9" s="1009">
        <v>4647</v>
      </c>
      <c r="K9" s="1009">
        <v>1755855</v>
      </c>
      <c r="L9" s="1009">
        <v>958138</v>
      </c>
      <c r="M9" s="1010">
        <v>1325.8</v>
      </c>
      <c r="N9" s="1011">
        <v>14731133</v>
      </c>
      <c r="O9" s="1011">
        <v>72381047</v>
      </c>
    </row>
    <row r="10" spans="1:16" ht="12.75" customHeight="1">
      <c r="B10" s="1012" t="s">
        <v>517</v>
      </c>
      <c r="C10" s="1013">
        <v>184412</v>
      </c>
      <c r="D10" s="1013">
        <v>4993</v>
      </c>
      <c r="E10" s="1013">
        <v>190000</v>
      </c>
      <c r="F10" s="1013" t="s">
        <v>275</v>
      </c>
      <c r="G10" s="1013">
        <v>1106000</v>
      </c>
      <c r="H10" s="1013">
        <v>260000</v>
      </c>
      <c r="I10" s="1013">
        <v>5803</v>
      </c>
      <c r="J10" s="1013">
        <v>4647</v>
      </c>
      <c r="K10" s="1013">
        <v>1755855</v>
      </c>
      <c r="L10" s="1013">
        <v>958138</v>
      </c>
      <c r="M10" s="1014">
        <v>1325.8</v>
      </c>
      <c r="N10" s="1015">
        <v>14731133</v>
      </c>
      <c r="O10" s="1015">
        <v>72381047</v>
      </c>
    </row>
    <row r="11" spans="1:16">
      <c r="B11" s="1000"/>
      <c r="C11" s="1009"/>
      <c r="D11" s="1009"/>
      <c r="E11" s="1009"/>
      <c r="F11" s="1009"/>
      <c r="G11" s="1009"/>
      <c r="H11" s="1009"/>
      <c r="I11" s="1009"/>
      <c r="J11" s="1009"/>
      <c r="K11" s="1009"/>
      <c r="L11" s="1009"/>
      <c r="M11" s="1016"/>
    </row>
    <row r="12" spans="1:16" ht="12.75" customHeight="1">
      <c r="B12" s="1008" t="s">
        <v>459</v>
      </c>
      <c r="C12" s="1009">
        <v>58166</v>
      </c>
      <c r="D12" s="1009">
        <v>1500</v>
      </c>
      <c r="E12" s="1009">
        <v>7500</v>
      </c>
      <c r="F12" s="1009" t="s">
        <v>275</v>
      </c>
      <c r="G12" s="1009">
        <v>92663</v>
      </c>
      <c r="H12" s="1009">
        <v>15000</v>
      </c>
      <c r="I12" s="1009" t="s">
        <v>275</v>
      </c>
      <c r="J12" s="1009">
        <v>2500</v>
      </c>
      <c r="K12" s="1009">
        <f>SUM(C12:J12)</f>
        <v>177329</v>
      </c>
      <c r="L12" s="1009">
        <v>154071</v>
      </c>
      <c r="M12" s="1017">
        <v>103</v>
      </c>
      <c r="N12" s="1011">
        <v>241509</v>
      </c>
      <c r="O12" s="1011">
        <v>2941285</v>
      </c>
    </row>
    <row r="13" spans="1:16" ht="12.75" customHeight="1">
      <c r="B13" s="1008" t="s">
        <v>474</v>
      </c>
      <c r="C13" s="1009">
        <v>271894</v>
      </c>
      <c r="D13" s="1009">
        <v>3500</v>
      </c>
      <c r="E13" s="1009">
        <v>60452</v>
      </c>
      <c r="F13" s="1009" t="s">
        <v>275</v>
      </c>
      <c r="G13" s="1009">
        <v>1835212</v>
      </c>
      <c r="H13" s="1009">
        <v>100500</v>
      </c>
      <c r="I13" s="1009" t="s">
        <v>275</v>
      </c>
      <c r="J13" s="1009">
        <v>10100</v>
      </c>
      <c r="K13" s="1009">
        <f>SUM(C13:J13)</f>
        <v>2281658</v>
      </c>
      <c r="L13" s="1009">
        <v>348298</v>
      </c>
      <c r="M13" s="1017">
        <v>734.1</v>
      </c>
      <c r="N13" s="1011">
        <v>3515822</v>
      </c>
      <c r="O13" s="1011">
        <v>41625954</v>
      </c>
    </row>
    <row r="14" spans="1:16" ht="12.75" customHeight="1">
      <c r="B14" s="1008" t="s">
        <v>518</v>
      </c>
      <c r="C14" s="1009">
        <v>189057</v>
      </c>
      <c r="D14" s="1009">
        <v>5000</v>
      </c>
      <c r="E14" s="1009">
        <v>31000</v>
      </c>
      <c r="F14" s="1009" t="s">
        <v>275</v>
      </c>
      <c r="G14" s="1009">
        <v>1851536</v>
      </c>
      <c r="H14" s="1009">
        <v>35000</v>
      </c>
      <c r="I14" s="1009" t="s">
        <v>275</v>
      </c>
      <c r="J14" s="1009">
        <v>6500</v>
      </c>
      <c r="K14" s="1009">
        <f>SUM(C14:J14)</f>
        <v>2118093</v>
      </c>
      <c r="L14" s="1009">
        <v>641466</v>
      </c>
      <c r="M14" s="1017">
        <v>209.7</v>
      </c>
      <c r="N14" s="1011">
        <v>3070255</v>
      </c>
      <c r="O14" s="1011">
        <v>40277158</v>
      </c>
    </row>
    <row r="15" spans="1:16" ht="12.75" customHeight="1">
      <c r="B15" s="1012" t="s">
        <v>742</v>
      </c>
      <c r="C15" s="1013">
        <f>SUM(C10:C14)</f>
        <v>703529</v>
      </c>
      <c r="D15" s="1013">
        <f t="shared" ref="D15:M15" si="0">SUM(D10:D14)</f>
        <v>14993</v>
      </c>
      <c r="E15" s="1013">
        <f t="shared" si="0"/>
        <v>288952</v>
      </c>
      <c r="F15" s="1013">
        <f t="shared" si="0"/>
        <v>0</v>
      </c>
      <c r="G15" s="1013">
        <f t="shared" si="0"/>
        <v>4885411</v>
      </c>
      <c r="H15" s="1013">
        <f t="shared" si="0"/>
        <v>410500</v>
      </c>
      <c r="I15" s="1013">
        <f t="shared" si="0"/>
        <v>5803</v>
      </c>
      <c r="J15" s="1013">
        <f t="shared" si="0"/>
        <v>23747</v>
      </c>
      <c r="K15" s="1013">
        <f>SUM(K10:K14)</f>
        <v>6332935</v>
      </c>
      <c r="L15" s="1013">
        <f t="shared" si="0"/>
        <v>2101973</v>
      </c>
      <c r="M15" s="1014">
        <f t="shared" si="0"/>
        <v>2372.6</v>
      </c>
      <c r="N15" s="1014">
        <v>21558719</v>
      </c>
      <c r="O15" s="1014">
        <v>157225443</v>
      </c>
    </row>
    <row r="16" spans="1:16">
      <c r="B16" s="1000"/>
      <c r="C16" s="1009"/>
      <c r="D16" s="1009"/>
      <c r="E16" s="1009"/>
      <c r="F16" s="1009"/>
      <c r="G16" s="1009"/>
      <c r="H16" s="1009"/>
      <c r="I16" s="1009"/>
      <c r="J16" s="1009"/>
      <c r="K16" s="1009"/>
      <c r="L16" s="1009"/>
      <c r="M16" s="1016"/>
      <c r="N16" s="1011"/>
      <c r="O16" s="1011"/>
    </row>
    <row r="17" spans="2:15" ht="12.75" customHeight="1">
      <c r="B17" s="1008" t="s">
        <v>743</v>
      </c>
      <c r="C17" s="1009">
        <v>537396</v>
      </c>
      <c r="D17" s="1009">
        <v>3000</v>
      </c>
      <c r="E17" s="1009">
        <v>96000</v>
      </c>
      <c r="F17" s="1009">
        <v>10000</v>
      </c>
      <c r="G17" s="1009">
        <v>1671825</v>
      </c>
      <c r="H17" s="1009">
        <v>30000</v>
      </c>
      <c r="I17" s="1009">
        <v>8000</v>
      </c>
      <c r="J17" s="1009">
        <v>30000</v>
      </c>
      <c r="K17" s="1009">
        <v>2386221</v>
      </c>
      <c r="L17" s="1009">
        <v>690775</v>
      </c>
      <c r="M17" s="1018">
        <v>1093.3</v>
      </c>
      <c r="N17" s="1011">
        <v>6738345</v>
      </c>
      <c r="O17" s="1011">
        <v>103249390</v>
      </c>
    </row>
    <row r="18" spans="2:15" ht="12.75" customHeight="1">
      <c r="B18" s="1012" t="s">
        <v>480</v>
      </c>
      <c r="C18" s="1013">
        <v>537396</v>
      </c>
      <c r="D18" s="1013">
        <v>3000</v>
      </c>
      <c r="E18" s="1013">
        <v>96000</v>
      </c>
      <c r="F18" s="1013">
        <v>10000</v>
      </c>
      <c r="G18" s="1013">
        <v>1671825</v>
      </c>
      <c r="H18" s="1013">
        <v>30000</v>
      </c>
      <c r="I18" s="1013">
        <v>8000</v>
      </c>
      <c r="J18" s="1013">
        <v>30000</v>
      </c>
      <c r="K18" s="1013">
        <v>2386221</v>
      </c>
      <c r="L18" s="1013">
        <v>690775</v>
      </c>
      <c r="M18" s="1014">
        <v>1093.3</v>
      </c>
      <c r="N18" s="1015">
        <v>6738345</v>
      </c>
      <c r="O18" s="1015">
        <v>103249390</v>
      </c>
    </row>
    <row r="19" spans="2:15">
      <c r="B19" s="1000"/>
      <c r="C19" s="1009"/>
      <c r="D19" s="1009"/>
      <c r="E19" s="1009"/>
      <c r="F19" s="1009"/>
      <c r="G19" s="1009"/>
      <c r="H19" s="1009"/>
      <c r="I19" s="1009"/>
      <c r="J19" s="1009"/>
      <c r="K19" s="1009"/>
      <c r="L19" s="1009"/>
      <c r="N19" s="1011"/>
      <c r="O19" s="1011"/>
    </row>
    <row r="20" spans="2:15" ht="12.75" customHeight="1">
      <c r="B20" s="1008" t="s">
        <v>724</v>
      </c>
      <c r="C20" s="1009">
        <v>538015</v>
      </c>
      <c r="D20" s="1009">
        <v>3050</v>
      </c>
      <c r="E20" s="1009">
        <v>102500</v>
      </c>
      <c r="F20" s="1009">
        <v>15000</v>
      </c>
      <c r="G20" s="1009">
        <v>2160084</v>
      </c>
      <c r="H20" s="1009">
        <v>33000</v>
      </c>
      <c r="I20" s="1009">
        <v>3000</v>
      </c>
      <c r="J20" s="1009">
        <v>152670</v>
      </c>
      <c r="K20" s="1009">
        <v>3007319</v>
      </c>
      <c r="L20" s="1009">
        <v>5072532</v>
      </c>
      <c r="M20" s="1017">
        <v>1172.2</v>
      </c>
      <c r="N20" s="1011">
        <v>8992818</v>
      </c>
      <c r="O20" s="1011">
        <v>113819163</v>
      </c>
    </row>
    <row r="21" spans="2:15" ht="25.5">
      <c r="B21" s="1008" t="s">
        <v>744</v>
      </c>
      <c r="C21" s="1009">
        <v>31696</v>
      </c>
      <c r="D21" s="1009">
        <v>1000</v>
      </c>
      <c r="E21" s="1009">
        <v>476400</v>
      </c>
      <c r="F21" s="1009" t="s">
        <v>275</v>
      </c>
      <c r="G21" s="1009">
        <v>214000</v>
      </c>
      <c r="H21" s="1009">
        <v>15000</v>
      </c>
      <c r="I21" s="1009">
        <v>1250</v>
      </c>
      <c r="J21" s="1009">
        <v>8093</v>
      </c>
      <c r="K21" s="1009">
        <v>747439</v>
      </c>
      <c r="L21" s="1009">
        <v>336000</v>
      </c>
      <c r="M21" s="1018">
        <v>176.1</v>
      </c>
      <c r="N21" s="1018"/>
      <c r="O21" s="1019"/>
    </row>
    <row r="22" spans="2:15" ht="12.75" customHeight="1">
      <c r="B22" s="1012" t="s">
        <v>485</v>
      </c>
      <c r="C22" s="1013">
        <f>SUM(C20:C21)</f>
        <v>569711</v>
      </c>
      <c r="D22" s="1013">
        <f t="shared" ref="D22:M22" si="1">SUM(D20:D21)</f>
        <v>4050</v>
      </c>
      <c r="E22" s="1013">
        <f t="shared" si="1"/>
        <v>578900</v>
      </c>
      <c r="F22" s="1013">
        <f t="shared" si="1"/>
        <v>15000</v>
      </c>
      <c r="G22" s="1013">
        <f t="shared" si="1"/>
        <v>2374084</v>
      </c>
      <c r="H22" s="1013">
        <f t="shared" si="1"/>
        <v>48000</v>
      </c>
      <c r="I22" s="1013">
        <f t="shared" si="1"/>
        <v>4250</v>
      </c>
      <c r="J22" s="1013">
        <f t="shared" si="1"/>
        <v>160763</v>
      </c>
      <c r="K22" s="1013">
        <f>SUM(K20:K21)</f>
        <v>3754758</v>
      </c>
      <c r="L22" s="1013">
        <f t="shared" si="1"/>
        <v>5408532</v>
      </c>
      <c r="M22" s="1014">
        <f t="shared" si="1"/>
        <v>1348.3</v>
      </c>
      <c r="N22" s="1014">
        <v>10915603</v>
      </c>
      <c r="O22" s="1014">
        <v>127722819</v>
      </c>
    </row>
    <row r="23" spans="2:15">
      <c r="B23" s="1000"/>
      <c r="C23" s="1009"/>
      <c r="D23" s="1009"/>
      <c r="E23" s="1009"/>
      <c r="F23" s="1009"/>
      <c r="G23" s="1009"/>
      <c r="H23" s="1009"/>
      <c r="I23" s="1009"/>
      <c r="J23" s="1009"/>
      <c r="K23" s="1009"/>
      <c r="L23" s="1009"/>
      <c r="M23" s="1018"/>
      <c r="N23" s="1018"/>
      <c r="O23" s="1018"/>
    </row>
    <row r="24" spans="2:15" ht="12.75" customHeight="1">
      <c r="B24" s="1008" t="s">
        <v>488</v>
      </c>
      <c r="C24" s="1009">
        <v>262536</v>
      </c>
      <c r="D24" s="1009">
        <v>3266</v>
      </c>
      <c r="E24" s="1009">
        <v>50000</v>
      </c>
      <c r="F24" s="1009">
        <v>10500</v>
      </c>
      <c r="G24" s="1009">
        <v>1559934</v>
      </c>
      <c r="H24" s="1009">
        <v>30000</v>
      </c>
      <c r="I24" s="1009">
        <v>1100</v>
      </c>
      <c r="J24" s="1009">
        <v>310300</v>
      </c>
      <c r="K24" s="1009">
        <v>2227636</v>
      </c>
      <c r="L24" s="1009">
        <v>5408532</v>
      </c>
      <c r="M24" s="1017">
        <v>860.9</v>
      </c>
      <c r="N24" s="1011">
        <v>5074638</v>
      </c>
      <c r="O24" s="1011">
        <v>64551988</v>
      </c>
    </row>
    <row r="25" spans="2:15" ht="12.75" customHeight="1">
      <c r="B25" s="1012" t="s">
        <v>745</v>
      </c>
      <c r="C25" s="1013">
        <f>SUM(C18,C22,C24)</f>
        <v>1369643</v>
      </c>
      <c r="D25" s="1013">
        <f t="shared" ref="D25:J25" si="2">SUM(D18,D22,D24)</f>
        <v>10316</v>
      </c>
      <c r="E25" s="1013">
        <f t="shared" si="2"/>
        <v>724900</v>
      </c>
      <c r="F25" s="1013">
        <f t="shared" si="2"/>
        <v>35500</v>
      </c>
      <c r="G25" s="1013">
        <f t="shared" si="2"/>
        <v>5605843</v>
      </c>
      <c r="H25" s="1013">
        <f t="shared" si="2"/>
        <v>108000</v>
      </c>
      <c r="I25" s="1013">
        <f t="shared" si="2"/>
        <v>13350</v>
      </c>
      <c r="J25" s="1013">
        <f t="shared" si="2"/>
        <v>501063</v>
      </c>
      <c r="K25" s="1013">
        <f>SUM(K18,K22,K24)</f>
        <v>8368615</v>
      </c>
      <c r="L25" s="1013">
        <f>SUM(L18,L22,L24)</f>
        <v>11507839</v>
      </c>
      <c r="M25" s="1014">
        <f>SUM(M18,M22,M24)</f>
        <v>3302.5</v>
      </c>
      <c r="N25" s="1014">
        <v>22728586</v>
      </c>
      <c r="O25" s="1014">
        <v>295524197</v>
      </c>
    </row>
    <row r="26" spans="2:15">
      <c r="B26" s="1000"/>
      <c r="C26" s="1009"/>
      <c r="D26" s="1009"/>
      <c r="E26" s="1009"/>
      <c r="F26" s="1009"/>
      <c r="G26" s="1009"/>
      <c r="H26" s="1009"/>
      <c r="I26" s="1009"/>
      <c r="J26" s="1009"/>
      <c r="K26" s="1009"/>
      <c r="L26" s="1009"/>
      <c r="M26" s="1011"/>
      <c r="N26" s="1011"/>
    </row>
    <row r="27" spans="2:15">
      <c r="B27" s="1020" t="s">
        <v>93</v>
      </c>
      <c r="C27" s="994" t="s">
        <v>746</v>
      </c>
      <c r="D27" s="1000"/>
      <c r="E27" s="1000"/>
      <c r="F27" s="1000"/>
      <c r="G27" s="1000"/>
      <c r="H27" s="1000"/>
      <c r="I27" s="1000"/>
      <c r="J27" s="1000"/>
      <c r="K27" s="1000"/>
      <c r="L27" s="1021"/>
      <c r="M27" s="994"/>
    </row>
    <row r="28" spans="2:15" ht="12.75" customHeight="1">
      <c r="C28" s="994" t="s">
        <v>747</v>
      </c>
      <c r="D28" s="1000"/>
      <c r="E28" s="1000"/>
      <c r="F28" s="1000"/>
      <c r="G28" s="1000"/>
      <c r="H28" s="1000"/>
      <c r="I28" s="1000"/>
      <c r="J28" s="1000"/>
      <c r="K28" s="1000"/>
      <c r="L28" s="1021"/>
      <c r="M28" s="994"/>
    </row>
    <row r="29" spans="2:15" ht="12.75" customHeight="1">
      <c r="B29" s="1022"/>
      <c r="C29" s="1023" t="s">
        <v>748</v>
      </c>
      <c r="D29" s="1022"/>
      <c r="E29" s="1022"/>
      <c r="F29" s="1022"/>
      <c r="G29" s="1022"/>
      <c r="H29" s="1022"/>
      <c r="I29" s="1022"/>
      <c r="J29" s="1022"/>
      <c r="K29" s="1022"/>
      <c r="M29" s="994"/>
    </row>
    <row r="30" spans="2:15" ht="12.75" customHeight="1">
      <c r="B30" s="1022"/>
      <c r="C30" s="1024" t="s">
        <v>749</v>
      </c>
      <c r="D30" s="1022"/>
      <c r="E30" s="1022"/>
      <c r="F30" s="1022"/>
      <c r="G30" s="1022"/>
      <c r="H30" s="1022"/>
      <c r="I30" s="1022"/>
      <c r="J30" s="1022"/>
      <c r="K30" s="1022"/>
      <c r="L30" s="1025"/>
      <c r="M30" s="994"/>
    </row>
    <row r="31" spans="2:15" ht="12.75" customHeight="1">
      <c r="B31" s="1022"/>
      <c r="C31" s="1024" t="s">
        <v>837</v>
      </c>
      <c r="D31" s="1022"/>
      <c r="E31" s="1022"/>
      <c r="F31" s="1022"/>
      <c r="G31" s="1022"/>
      <c r="H31" s="1022"/>
      <c r="I31" s="1022"/>
      <c r="J31" s="1022"/>
      <c r="K31" s="1022"/>
      <c r="L31" s="1025"/>
      <c r="M31" s="994"/>
    </row>
    <row r="32" spans="2:15" ht="12.75" customHeight="1">
      <c r="B32" s="1022"/>
      <c r="C32" s="1023" t="s">
        <v>750</v>
      </c>
      <c r="D32" s="1022"/>
      <c r="E32" s="1022"/>
      <c r="F32" s="1022"/>
      <c r="G32" s="1022"/>
      <c r="H32" s="1022"/>
      <c r="I32" s="1022"/>
      <c r="J32" s="1022"/>
      <c r="K32" s="1022"/>
      <c r="L32" s="1022"/>
      <c r="M32" s="994"/>
    </row>
    <row r="33" spans="2:13" ht="12.75" customHeight="1">
      <c r="B33" s="1022"/>
      <c r="C33" s="1023" t="s">
        <v>751</v>
      </c>
      <c r="D33" s="1022"/>
      <c r="E33" s="1022"/>
      <c r="F33" s="1022"/>
      <c r="G33" s="1022"/>
      <c r="H33" s="1022"/>
      <c r="I33" s="1022"/>
      <c r="J33" s="1022"/>
      <c r="K33" s="1022"/>
      <c r="L33" s="1025"/>
      <c r="M33" s="994"/>
    </row>
    <row r="34" spans="2:13" ht="12.75" customHeight="1">
      <c r="B34" s="1022"/>
      <c r="C34" s="1023" t="s">
        <v>752</v>
      </c>
      <c r="D34" s="1022"/>
      <c r="E34" s="1022"/>
      <c r="F34" s="1022"/>
      <c r="G34" s="1022"/>
      <c r="H34" s="1022"/>
      <c r="I34" s="1022"/>
      <c r="J34" s="1022"/>
      <c r="K34" s="1022"/>
      <c r="M34" s="994"/>
    </row>
    <row r="35" spans="2:13" ht="12.75" customHeight="1">
      <c r="B35" s="1022"/>
      <c r="C35" s="1023" t="s">
        <v>753</v>
      </c>
      <c r="D35" s="1022"/>
      <c r="E35" s="1022"/>
      <c r="F35" s="1022"/>
      <c r="G35" s="1022"/>
      <c r="H35" s="1022"/>
      <c r="I35" s="1022"/>
      <c r="J35" s="1022"/>
      <c r="K35" s="1022"/>
      <c r="L35" s="1025"/>
      <c r="M35" s="994"/>
    </row>
    <row r="36" spans="2:13">
      <c r="B36" s="1000"/>
      <c r="C36" s="994" t="s">
        <v>754</v>
      </c>
      <c r="D36" s="1000"/>
      <c r="E36" s="1000"/>
      <c r="F36" s="1000"/>
      <c r="G36" s="1000"/>
      <c r="H36" s="1000"/>
      <c r="I36" s="1000"/>
      <c r="J36" s="1000"/>
      <c r="K36" s="1000"/>
      <c r="L36" s="1025"/>
      <c r="M36" s="994"/>
    </row>
    <row r="37" spans="2:13" ht="13.5" customHeight="1">
      <c r="B37" s="1000"/>
      <c r="C37" s="994" t="s">
        <v>755</v>
      </c>
      <c r="D37" s="1000"/>
      <c r="E37" s="1000"/>
      <c r="F37" s="1000"/>
      <c r="G37" s="1000"/>
      <c r="H37" s="1000"/>
      <c r="I37" s="1000"/>
      <c r="J37" s="1000"/>
      <c r="K37" s="1000"/>
      <c r="M37" s="994"/>
    </row>
    <row r="38" spans="2:13">
      <c r="B38" s="1000"/>
      <c r="C38" s="994" t="s">
        <v>756</v>
      </c>
      <c r="D38" s="1000"/>
      <c r="E38" s="1000"/>
      <c r="F38" s="1000"/>
      <c r="G38" s="1000"/>
      <c r="H38" s="1000"/>
      <c r="I38" s="1000"/>
      <c r="J38" s="1000"/>
      <c r="K38" s="1000"/>
      <c r="L38" s="1025"/>
      <c r="M38" s="1000"/>
    </row>
    <row r="39" spans="2:13">
      <c r="C39" s="1026" t="s">
        <v>757</v>
      </c>
    </row>
    <row r="40" spans="2:13">
      <c r="C40" s="1027" t="s">
        <v>758</v>
      </c>
      <c r="L40" s="1021"/>
    </row>
    <row r="41" spans="2:13">
      <c r="L41" s="1021"/>
    </row>
    <row r="42" spans="2:13">
      <c r="L42" s="1021"/>
    </row>
    <row r="43" spans="2:13">
      <c r="L43" s="1011"/>
    </row>
    <row r="59" ht="16.5" customHeight="1"/>
    <row r="63" ht="21" customHeight="1"/>
  </sheetData>
  <mergeCells count="1">
    <mergeCell ref="B7:N7"/>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sheetPr>
    <tabColor theme="2" tint="-0.499984740745262"/>
  </sheetPr>
  <dimension ref="A1:K46"/>
  <sheetViews>
    <sheetView topLeftCell="A2" workbookViewId="0">
      <selection activeCell="B3" sqref="B3"/>
    </sheetView>
  </sheetViews>
  <sheetFormatPr defaultRowHeight="12.75" outlineLevelRow="1"/>
  <cols>
    <col min="1" max="1" width="9.85546875" style="764" bestFit="1" customWidth="1"/>
    <col min="2" max="2" width="29.85546875" style="764" customWidth="1"/>
    <col min="3" max="3" width="10.5703125" style="1031" customWidth="1"/>
    <col min="4" max="4" width="12.42578125" style="764" bestFit="1" customWidth="1"/>
    <col min="5" max="5" width="12.7109375" style="764" customWidth="1"/>
    <col min="6" max="6" width="12.85546875" style="764" customWidth="1"/>
    <col min="7" max="7" width="10.85546875" style="764" customWidth="1"/>
    <col min="8" max="9" width="13.5703125" style="764" customWidth="1"/>
    <col min="10" max="10" width="9.5703125" style="764" customWidth="1"/>
    <col min="11" max="16384" width="9.140625" style="764"/>
  </cols>
  <sheetData>
    <row r="1" spans="1:11" s="803" customFormat="1" hidden="1" outlineLevel="1">
      <c r="B1" s="1028"/>
      <c r="C1" s="1029"/>
      <c r="D1" s="1029"/>
      <c r="E1" s="1029">
        <v>3</v>
      </c>
      <c r="F1" s="1029">
        <v>5</v>
      </c>
      <c r="G1" s="1029">
        <v>6</v>
      </c>
      <c r="H1" s="1029"/>
      <c r="I1" s="1029"/>
      <c r="J1" s="1029"/>
    </row>
    <row r="2" spans="1:11" collapsed="1">
      <c r="A2" s="826" t="s">
        <v>91</v>
      </c>
      <c r="B2" s="126" t="str">
        <f>'ORTP Summary'!C1</f>
        <v>ISO-NE ORTP 2013 Study</v>
      </c>
      <c r="C2" s="1030"/>
      <c r="D2" s="1030"/>
      <c r="E2" s="1030"/>
      <c r="F2" s="1030"/>
      <c r="G2" s="1030"/>
      <c r="H2" s="1030"/>
      <c r="I2" s="1030"/>
      <c r="J2" s="1030"/>
    </row>
    <row r="3" spans="1:11">
      <c r="A3" s="826" t="s">
        <v>92</v>
      </c>
      <c r="B3" s="830" t="s">
        <v>113</v>
      </c>
      <c r="C3" s="1030"/>
      <c r="D3" s="1030"/>
      <c r="E3" s="1030"/>
      <c r="F3" s="1030"/>
      <c r="G3" s="1030"/>
      <c r="H3" s="1030"/>
      <c r="I3" s="1030"/>
      <c r="J3" s="1030"/>
    </row>
    <row r="4" spans="1:11">
      <c r="A4" s="826" t="s">
        <v>114</v>
      </c>
      <c r="B4" s="831" t="s">
        <v>759</v>
      </c>
      <c r="C4" s="1030"/>
      <c r="D4" s="1030"/>
      <c r="E4" s="1030"/>
      <c r="F4" s="1030"/>
      <c r="G4" s="1030"/>
      <c r="H4" s="1030"/>
      <c r="I4" s="1030"/>
      <c r="J4" s="1030"/>
    </row>
    <row r="5" spans="1:11">
      <c r="A5" s="832" t="s">
        <v>547</v>
      </c>
      <c r="B5" s="1190" t="s">
        <v>760</v>
      </c>
      <c r="C5" s="1030"/>
      <c r="D5" s="1030"/>
      <c r="E5" s="1030"/>
      <c r="F5" s="1030"/>
      <c r="G5" s="1030"/>
      <c r="H5" s="1030"/>
      <c r="I5" s="1030"/>
      <c r="J5" s="1030"/>
    </row>
    <row r="6" spans="1:11" ht="14.25" customHeight="1">
      <c r="B6" s="1031"/>
      <c r="C6" s="1030"/>
      <c r="D6" s="1030"/>
      <c r="E6" s="1030"/>
      <c r="F6" s="1030"/>
      <c r="G6" s="1030"/>
      <c r="H6" s="1030"/>
      <c r="I6" s="1030"/>
      <c r="J6" s="1030"/>
    </row>
    <row r="7" spans="1:11" ht="45" customHeight="1">
      <c r="B7" s="1374" t="s">
        <v>761</v>
      </c>
      <c r="C7" s="1374"/>
      <c r="D7" s="1374"/>
      <c r="E7" s="1374"/>
      <c r="F7" s="1374"/>
      <c r="G7" s="1374"/>
      <c r="H7" s="1374"/>
      <c r="I7" s="1374"/>
      <c r="J7" s="1374"/>
    </row>
    <row r="8" spans="1:11">
      <c r="B8" s="804"/>
      <c r="C8" s="1032"/>
      <c r="D8" s="804"/>
      <c r="E8" s="804"/>
      <c r="F8" s="804"/>
      <c r="G8" s="804"/>
      <c r="H8" s="804"/>
      <c r="I8" s="804"/>
      <c r="J8" s="804"/>
    </row>
    <row r="9" spans="1:11" ht="38.25">
      <c r="B9" s="1033" t="s">
        <v>566</v>
      </c>
      <c r="C9" s="1034" t="s">
        <v>762</v>
      </c>
      <c r="D9" s="1035" t="s">
        <v>763</v>
      </c>
      <c r="E9" s="1035" t="s">
        <v>764</v>
      </c>
      <c r="F9" s="1035" t="s">
        <v>765</v>
      </c>
      <c r="G9" s="1034" t="s">
        <v>766</v>
      </c>
      <c r="H9" s="1035" t="s">
        <v>767</v>
      </c>
      <c r="I9" s="1035" t="s">
        <v>768</v>
      </c>
      <c r="J9" s="1035" t="s">
        <v>769</v>
      </c>
    </row>
    <row r="10" spans="1:11">
      <c r="B10" s="1036" t="s">
        <v>464</v>
      </c>
      <c r="C10" s="1037">
        <v>6.39</v>
      </c>
      <c r="D10" s="1036" t="s">
        <v>770</v>
      </c>
      <c r="E10" s="1036" t="s">
        <v>771</v>
      </c>
      <c r="F10" s="1036" t="s">
        <v>772</v>
      </c>
      <c r="G10" s="1036" t="s">
        <v>773</v>
      </c>
      <c r="H10" s="1038" t="s">
        <v>774</v>
      </c>
      <c r="I10" s="1038">
        <f>E10+F10+G10</f>
        <v>6940.8</v>
      </c>
      <c r="J10" s="1037">
        <v>3.2</v>
      </c>
    </row>
    <row r="11" spans="1:11">
      <c r="B11" s="1036" t="s">
        <v>470</v>
      </c>
      <c r="C11" s="1037">
        <v>2.39</v>
      </c>
      <c r="D11" s="1036" t="s">
        <v>775</v>
      </c>
      <c r="E11" s="1036" t="s">
        <v>776</v>
      </c>
      <c r="F11" s="1036" t="s">
        <v>777</v>
      </c>
      <c r="G11" s="1036" t="s">
        <v>778</v>
      </c>
      <c r="H11" s="1038" t="s">
        <v>774</v>
      </c>
      <c r="I11" s="1038">
        <f t="shared" ref="I11:I20" si="0">E11+F11+G11</f>
        <v>18448.8</v>
      </c>
      <c r="J11" s="1037">
        <v>5.7</v>
      </c>
    </row>
    <row r="12" spans="1:11">
      <c r="B12" s="1036" t="s">
        <v>476</v>
      </c>
      <c r="C12" s="1037">
        <v>2.15</v>
      </c>
      <c r="D12" s="1036" t="s">
        <v>779</v>
      </c>
      <c r="E12" s="1036" t="s">
        <v>780</v>
      </c>
      <c r="F12" s="1036" t="s">
        <v>781</v>
      </c>
      <c r="G12" s="1036" t="s">
        <v>782</v>
      </c>
      <c r="H12" s="1038" t="s">
        <v>774</v>
      </c>
      <c r="I12" s="1039">
        <f t="shared" si="0"/>
        <v>14239.8</v>
      </c>
      <c r="J12" s="1037">
        <v>7.8</v>
      </c>
    </row>
    <row r="13" spans="1:11">
      <c r="I13" s="1040"/>
    </row>
    <row r="14" spans="1:11">
      <c r="B14" s="1041" t="s">
        <v>783</v>
      </c>
      <c r="C14" s="1042"/>
      <c r="D14" s="1042"/>
      <c r="E14" s="1042"/>
      <c r="F14" s="1042"/>
      <c r="G14" s="1042"/>
      <c r="H14" s="1042"/>
      <c r="I14" s="1042"/>
      <c r="J14" s="1042"/>
      <c r="K14" s="1042"/>
    </row>
    <row r="15" spans="1:11">
      <c r="B15" s="1043" t="s">
        <v>482</v>
      </c>
      <c r="C15" s="1044">
        <v>1.35</v>
      </c>
      <c r="D15" s="1045" t="s">
        <v>784</v>
      </c>
      <c r="E15" s="1045" t="s">
        <v>785</v>
      </c>
      <c r="F15" s="1045">
        <v>0</v>
      </c>
      <c r="G15" s="1045">
        <v>0</v>
      </c>
      <c r="H15" s="1045" t="s">
        <v>786</v>
      </c>
      <c r="I15" s="1046">
        <f>E15+H15</f>
        <v>5862.5</v>
      </c>
      <c r="J15" s="1037">
        <v>23.7</v>
      </c>
      <c r="K15" s="1042"/>
    </row>
    <row r="17" spans="2:11">
      <c r="B17" s="1041" t="s">
        <v>787</v>
      </c>
      <c r="C17" s="1042"/>
      <c r="D17" s="1042"/>
      <c r="E17" s="1042"/>
      <c r="F17" s="1042"/>
      <c r="G17" s="1042"/>
      <c r="H17" s="1042"/>
      <c r="I17" s="1042"/>
      <c r="J17" s="1042"/>
      <c r="K17" s="1042"/>
    </row>
    <row r="18" spans="2:11">
      <c r="B18" s="1047" t="s">
        <v>459</v>
      </c>
      <c r="C18" s="1048">
        <v>2.31</v>
      </c>
      <c r="D18" s="1047" t="s">
        <v>788</v>
      </c>
      <c r="E18" s="1047" t="s">
        <v>789</v>
      </c>
      <c r="F18" s="1047" t="s">
        <v>790</v>
      </c>
      <c r="G18" s="1047" t="s">
        <v>791</v>
      </c>
      <c r="H18" s="1049" t="s">
        <v>774</v>
      </c>
      <c r="I18" s="1050">
        <f t="shared" si="0"/>
        <v>1792.6</v>
      </c>
      <c r="J18" s="1051">
        <v>34.5</v>
      </c>
      <c r="K18" s="1042"/>
    </row>
    <row r="19" spans="2:11">
      <c r="B19" s="1047" t="s">
        <v>489</v>
      </c>
      <c r="C19" s="1048">
        <v>2.5</v>
      </c>
      <c r="D19" s="1047" t="s">
        <v>792</v>
      </c>
      <c r="E19" s="1047" t="s">
        <v>793</v>
      </c>
      <c r="F19" s="1047" t="s">
        <v>794</v>
      </c>
      <c r="G19" s="1047" t="s">
        <v>795</v>
      </c>
      <c r="H19" s="1052" t="s">
        <v>774</v>
      </c>
      <c r="I19" s="1053">
        <f t="shared" si="0"/>
        <v>3206</v>
      </c>
      <c r="J19" s="1054">
        <v>21.8</v>
      </c>
      <c r="K19" s="1042"/>
    </row>
    <row r="20" spans="2:11">
      <c r="B20" s="1047" t="s">
        <v>491</v>
      </c>
      <c r="C20" s="1048">
        <v>3.22</v>
      </c>
      <c r="D20" s="1047" t="s">
        <v>796</v>
      </c>
      <c r="E20" s="1047" t="s">
        <v>797</v>
      </c>
      <c r="F20" s="1047" t="s">
        <v>798</v>
      </c>
      <c r="G20" s="1047" t="s">
        <v>799</v>
      </c>
      <c r="H20" s="1052" t="s">
        <v>774</v>
      </c>
      <c r="I20" s="1038">
        <f t="shared" si="0"/>
        <v>8551.5</v>
      </c>
      <c r="J20" s="1054">
        <v>14.7</v>
      </c>
      <c r="K20" s="1042"/>
    </row>
    <row r="21" spans="2:11">
      <c r="B21" s="1047" t="s">
        <v>493</v>
      </c>
      <c r="C21" s="1048">
        <v>3.1</v>
      </c>
      <c r="D21" s="1047" t="s">
        <v>800</v>
      </c>
      <c r="E21" s="1047" t="s">
        <v>801</v>
      </c>
      <c r="F21" s="1055">
        <v>0</v>
      </c>
      <c r="G21" s="1047" t="s">
        <v>802</v>
      </c>
      <c r="H21" s="1052" t="s">
        <v>774</v>
      </c>
      <c r="I21" s="1038">
        <f>E21+G21</f>
        <v>4578.7999999999993</v>
      </c>
      <c r="J21" s="1054">
        <v>4</v>
      </c>
      <c r="K21" s="1042"/>
    </row>
    <row r="22" spans="2:11">
      <c r="B22" s="1047" t="s">
        <v>495</v>
      </c>
      <c r="C22" s="1048">
        <v>1.89</v>
      </c>
      <c r="D22" s="1047" t="s">
        <v>803</v>
      </c>
      <c r="E22" s="1047" t="s">
        <v>804</v>
      </c>
      <c r="F22" s="1055">
        <v>0</v>
      </c>
      <c r="G22" s="1047" t="s">
        <v>802</v>
      </c>
      <c r="H22" s="1052" t="s">
        <v>774</v>
      </c>
      <c r="I22" s="1038">
        <f>E22+G22</f>
        <v>2116.8000000000002</v>
      </c>
      <c r="J22" s="1056">
        <v>7.1</v>
      </c>
      <c r="K22" s="1042"/>
    </row>
    <row r="23" spans="2:11">
      <c r="B23" s="796"/>
      <c r="C23" s="1057"/>
      <c r="D23" s="796"/>
      <c r="E23" s="796"/>
      <c r="F23" s="796"/>
      <c r="G23" s="796"/>
      <c r="H23" s="1058"/>
      <c r="I23" s="1059"/>
      <c r="J23" s="1060"/>
      <c r="K23" s="1042"/>
    </row>
    <row r="24" spans="2:11">
      <c r="B24" s="1375" t="s">
        <v>805</v>
      </c>
      <c r="C24" s="1375"/>
      <c r="D24" s="1375"/>
      <c r="E24" s="1375"/>
      <c r="F24" s="1375"/>
      <c r="G24" s="1375"/>
      <c r="H24" s="1375"/>
      <c r="I24" s="1375"/>
      <c r="J24" s="1375"/>
    </row>
    <row r="25" spans="2:11">
      <c r="B25" s="1375"/>
      <c r="C25" s="1375"/>
      <c r="D25" s="1375"/>
      <c r="E25" s="1375"/>
      <c r="F25" s="1375"/>
      <c r="G25" s="1375"/>
      <c r="H25" s="1375"/>
      <c r="I25" s="1375"/>
      <c r="J25" s="1375"/>
    </row>
    <row r="26" spans="2:11">
      <c r="B26" s="1375"/>
      <c r="C26" s="1375"/>
      <c r="D26" s="1375"/>
      <c r="E26" s="1375"/>
      <c r="F26" s="1375"/>
      <c r="G26" s="1375"/>
      <c r="H26" s="1375"/>
      <c r="I26" s="1375"/>
      <c r="J26" s="1375"/>
    </row>
    <row r="29" spans="2:11" ht="48" customHeight="1">
      <c r="B29" s="1376" t="s">
        <v>806</v>
      </c>
      <c r="C29" s="1376"/>
      <c r="D29" s="1376"/>
      <c r="E29" s="1376"/>
      <c r="F29" s="1376"/>
      <c r="G29" s="1376"/>
      <c r="H29" s="1061"/>
      <c r="I29" s="1061"/>
      <c r="J29" s="1061"/>
    </row>
    <row r="32" spans="2:11">
      <c r="C32" s="1377" t="s">
        <v>807</v>
      </c>
      <c r="D32" s="1377"/>
      <c r="E32" s="1377"/>
      <c r="F32" s="1377" t="s">
        <v>808</v>
      </c>
      <c r="G32" s="1377"/>
      <c r="H32" s="1062"/>
    </row>
    <row r="33" spans="2:7">
      <c r="B33" s="764" t="s">
        <v>566</v>
      </c>
      <c r="C33" s="1063" t="s">
        <v>809</v>
      </c>
      <c r="D33" s="764" t="s">
        <v>810</v>
      </c>
      <c r="E33" s="764" t="s">
        <v>811</v>
      </c>
      <c r="F33" s="764" t="s">
        <v>812</v>
      </c>
      <c r="G33" s="764" t="s">
        <v>811</v>
      </c>
    </row>
    <row r="34" spans="2:7">
      <c r="B34" s="764" t="s">
        <v>464</v>
      </c>
      <c r="C34" s="1063">
        <v>9049</v>
      </c>
      <c r="D34" s="1063">
        <v>4895</v>
      </c>
      <c r="E34" s="1064">
        <v>124710</v>
      </c>
      <c r="F34" s="1064">
        <v>27216</v>
      </c>
      <c r="G34" s="1064">
        <v>324394</v>
      </c>
    </row>
    <row r="35" spans="2:7">
      <c r="B35" s="764" t="s">
        <v>470</v>
      </c>
      <c r="C35" s="1063">
        <v>5527</v>
      </c>
      <c r="D35" s="1063">
        <v>4790</v>
      </c>
      <c r="E35" s="1064">
        <v>67675</v>
      </c>
      <c r="F35" s="1064">
        <v>39928</v>
      </c>
      <c r="G35" s="1064">
        <v>486584</v>
      </c>
    </row>
    <row r="36" spans="2:7">
      <c r="B36" s="764" t="s">
        <v>476</v>
      </c>
      <c r="C36" s="1063">
        <v>4675</v>
      </c>
      <c r="D36" s="1063">
        <v>2577</v>
      </c>
      <c r="E36" s="1064">
        <v>55859</v>
      </c>
      <c r="F36" s="1064">
        <v>21113</v>
      </c>
      <c r="G36" s="1064">
        <v>252295</v>
      </c>
    </row>
    <row r="37" spans="2:7">
      <c r="C37" s="1063"/>
      <c r="D37" s="1063"/>
      <c r="E37" s="1064"/>
      <c r="F37" s="1064"/>
      <c r="G37" s="1064"/>
    </row>
    <row r="38" spans="2:7">
      <c r="B38" s="764" t="s">
        <v>482</v>
      </c>
      <c r="C38" s="1063">
        <v>482</v>
      </c>
      <c r="D38" s="1063">
        <v>916</v>
      </c>
      <c r="E38" s="1064">
        <v>5716</v>
      </c>
      <c r="F38" s="1064">
        <v>3960</v>
      </c>
      <c r="G38" s="1064">
        <v>44539</v>
      </c>
    </row>
    <row r="39" spans="2:7">
      <c r="C39" s="1063"/>
      <c r="D39" s="1063"/>
      <c r="E39" s="1064"/>
      <c r="F39" s="1064"/>
      <c r="G39" s="1064"/>
    </row>
    <row r="40" spans="2:7">
      <c r="B40" s="764" t="s">
        <v>459</v>
      </c>
      <c r="C40" s="1063">
        <v>246</v>
      </c>
      <c r="D40" s="1063">
        <v>204</v>
      </c>
      <c r="E40" s="1064">
        <v>5044</v>
      </c>
      <c r="F40" s="764">
        <v>812</v>
      </c>
      <c r="G40" s="1064">
        <v>10153</v>
      </c>
    </row>
    <row r="41" spans="2:7">
      <c r="B41" s="764" t="s">
        <v>489</v>
      </c>
      <c r="C41" s="1063">
        <v>2085</v>
      </c>
      <c r="D41" s="1063">
        <v>2667</v>
      </c>
      <c r="E41" s="1064">
        <v>22491</v>
      </c>
      <c r="F41" s="1064">
        <v>1964</v>
      </c>
      <c r="G41" s="1064">
        <v>24067</v>
      </c>
    </row>
    <row r="42" spans="2:7">
      <c r="B42" s="764" t="s">
        <v>528</v>
      </c>
      <c r="C42" s="1063">
        <v>798</v>
      </c>
      <c r="D42" s="1063">
        <v>1812</v>
      </c>
      <c r="E42" s="1064">
        <v>9580</v>
      </c>
      <c r="F42" s="1064">
        <v>8432</v>
      </c>
      <c r="G42" s="1064">
        <v>95369</v>
      </c>
    </row>
    <row r="43" spans="2:7">
      <c r="B43" s="764" t="s">
        <v>493</v>
      </c>
      <c r="C43" s="1063">
        <v>2110</v>
      </c>
      <c r="D43" s="1063">
        <v>4221</v>
      </c>
      <c r="E43" s="1064">
        <v>15532</v>
      </c>
      <c r="F43" s="1064">
        <v>20174</v>
      </c>
      <c r="G43" s="1064">
        <v>154987</v>
      </c>
    </row>
    <row r="44" spans="2:7">
      <c r="B44" s="764" t="s">
        <v>495</v>
      </c>
      <c r="C44" s="1063">
        <v>507</v>
      </c>
      <c r="D44" s="1063">
        <v>554</v>
      </c>
      <c r="E44" s="1064">
        <v>4158</v>
      </c>
      <c r="F44" s="1064">
        <v>4971</v>
      </c>
      <c r="G44" s="1064">
        <v>38992</v>
      </c>
    </row>
    <row r="46" spans="2:7">
      <c r="B46" s="764" t="s">
        <v>813</v>
      </c>
    </row>
  </sheetData>
  <mergeCells count="5">
    <mergeCell ref="B7:J7"/>
    <mergeCell ref="B24:J26"/>
    <mergeCell ref="B29:G29"/>
    <mergeCell ref="C32:E32"/>
    <mergeCell ref="F32:G3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sheetPr>
    <tabColor rgb="FF0000FF"/>
  </sheetPr>
  <dimension ref="C1:V44"/>
  <sheetViews>
    <sheetView topLeftCell="C4" zoomScaleNormal="100" workbookViewId="0">
      <selection activeCell="Q54" sqref="Q54"/>
    </sheetView>
  </sheetViews>
  <sheetFormatPr defaultRowHeight="12.75" outlineLevelRow="1" outlineLevelCol="2"/>
  <cols>
    <col min="1" max="2" width="9.140625" style="677"/>
    <col min="3" max="3" width="24.140625" style="677" bestFit="1" customWidth="1"/>
    <col min="4" max="5" width="13.7109375" style="677" customWidth="1" outlineLevel="1"/>
    <col min="6" max="6" width="13.7109375" style="677" customWidth="1" outlineLevel="2"/>
    <col min="7" max="7" width="13.7109375" style="677" customWidth="1" outlineLevel="1"/>
    <col min="8" max="8" width="0.85546875" style="677" customWidth="1"/>
    <col min="9" max="9" width="13.7109375" style="677" customWidth="1" outlineLevel="1"/>
    <col min="10" max="10" width="13.7109375" style="677" customWidth="1" outlineLevel="2"/>
    <col min="11" max="12" width="13.7109375" style="677" customWidth="1" outlineLevel="1"/>
    <col min="13" max="13" width="0.85546875" style="677" customWidth="1"/>
    <col min="14" max="14" width="13.7109375" style="677" customWidth="1" outlineLevel="1"/>
    <col min="15" max="15" width="13.7109375" style="677" customWidth="1" outlineLevel="2"/>
    <col min="16" max="17" width="13.7109375" style="677" customWidth="1" outlineLevel="1"/>
    <col min="18" max="18" width="0.85546875" style="757" customWidth="1"/>
    <col min="19" max="19" width="13.7109375" style="677" customWidth="1" outlineLevel="1"/>
    <col min="20" max="20" width="13.7109375" style="677" customWidth="1" outlineLevel="2"/>
    <col min="21" max="22" width="13.7109375" style="677" customWidth="1" outlineLevel="1"/>
    <col min="23" max="16384" width="9.140625" style="677"/>
  </cols>
  <sheetData>
    <row r="1" spans="3:22" s="1316" customFormat="1" hidden="1" outlineLevel="1">
      <c r="R1" s="1317"/>
    </row>
    <row r="2" spans="3:22" s="1316" customFormat="1" hidden="1" outlineLevel="1">
      <c r="R2" s="1317"/>
    </row>
    <row r="3" spans="3:22" s="1318" customFormat="1" ht="25.5" hidden="1" outlineLevel="1">
      <c r="D3" s="1318" t="s">
        <v>357</v>
      </c>
      <c r="E3" s="1318" t="s">
        <v>163</v>
      </c>
      <c r="F3" s="1318" t="s">
        <v>360</v>
      </c>
      <c r="G3" s="1318" t="s">
        <v>163</v>
      </c>
      <c r="I3" s="1318" t="s">
        <v>358</v>
      </c>
      <c r="J3" s="1318" t="s">
        <v>361</v>
      </c>
      <c r="K3" s="1318" t="s">
        <v>164</v>
      </c>
      <c r="L3" s="1318" t="s">
        <v>164</v>
      </c>
      <c r="N3" s="1318" t="s">
        <v>359</v>
      </c>
      <c r="O3" s="1318" t="s">
        <v>362</v>
      </c>
      <c r="P3" s="1318" t="s">
        <v>165</v>
      </c>
      <c r="Q3" s="1318" t="s">
        <v>165</v>
      </c>
      <c r="S3" s="1318" t="s">
        <v>856</v>
      </c>
      <c r="T3" s="1318" t="s">
        <v>857</v>
      </c>
      <c r="U3" s="1318" t="s">
        <v>404</v>
      </c>
      <c r="V3" s="1318" t="s">
        <v>404</v>
      </c>
    </row>
    <row r="4" spans="3:22" collapsed="1"/>
    <row r="5" spans="3:22" ht="25.5">
      <c r="D5" s="1319" t="s">
        <v>163</v>
      </c>
      <c r="E5" s="1319" t="s">
        <v>163</v>
      </c>
      <c r="F5" s="1319" t="s">
        <v>163</v>
      </c>
      <c r="G5" s="1319" t="s">
        <v>163</v>
      </c>
      <c r="H5" s="1319"/>
      <c r="I5" s="1319" t="s">
        <v>164</v>
      </c>
      <c r="J5" s="1319" t="s">
        <v>164</v>
      </c>
      <c r="K5" s="1319" t="s">
        <v>164</v>
      </c>
      <c r="L5" s="1319" t="s">
        <v>164</v>
      </c>
      <c r="M5" s="1319"/>
      <c r="N5" s="1319" t="s">
        <v>165</v>
      </c>
      <c r="O5" s="1319" t="s">
        <v>165</v>
      </c>
      <c r="P5" s="1319" t="s">
        <v>165</v>
      </c>
      <c r="Q5" s="1319" t="s">
        <v>165</v>
      </c>
      <c r="R5" s="1319"/>
      <c r="S5" s="1319" t="s">
        <v>404</v>
      </c>
      <c r="T5" s="1319" t="s">
        <v>404</v>
      </c>
      <c r="U5" s="1319" t="s">
        <v>404</v>
      </c>
      <c r="V5" s="1319" t="s">
        <v>404</v>
      </c>
    </row>
    <row r="6" spans="3:22" ht="6" customHeight="1" thickBot="1">
      <c r="C6" s="1320"/>
      <c r="D6" s="1320"/>
      <c r="E6" s="1320"/>
      <c r="F6" s="1320"/>
      <c r="G6" s="1320"/>
      <c r="H6" s="1320"/>
      <c r="I6" s="1320"/>
      <c r="J6" s="1320"/>
      <c r="K6" s="1320"/>
      <c r="L6" s="1320"/>
      <c r="M6" s="1320"/>
      <c r="N6" s="1320"/>
      <c r="O6" s="1320"/>
      <c r="P6" s="1320"/>
      <c r="Q6" s="1320"/>
      <c r="R6" s="1320"/>
      <c r="S6" s="1320"/>
      <c r="T6" s="1320"/>
      <c r="U6" s="1320"/>
      <c r="V6" s="1320"/>
    </row>
    <row r="7" spans="3:22" ht="6" customHeight="1" thickTop="1">
      <c r="C7" s="1321"/>
      <c r="D7" s="1322"/>
      <c r="E7" s="1322"/>
      <c r="F7" s="1322"/>
      <c r="G7" s="1322"/>
      <c r="H7" s="1322"/>
      <c r="I7" s="1321"/>
      <c r="J7" s="1321"/>
      <c r="K7" s="1321"/>
      <c r="L7" s="1321"/>
      <c r="M7" s="1322"/>
      <c r="N7" s="1321"/>
      <c r="O7" s="1321"/>
      <c r="P7" s="1321"/>
      <c r="Q7" s="1321"/>
      <c r="R7" s="1322"/>
      <c r="S7" s="1321"/>
      <c r="T7" s="1321"/>
      <c r="U7" s="1321"/>
      <c r="V7" s="1321"/>
    </row>
    <row r="8" spans="3:22" ht="25.5">
      <c r="C8" s="1323" t="s">
        <v>165</v>
      </c>
      <c r="D8" s="1319" t="s">
        <v>981</v>
      </c>
      <c r="E8" s="1319" t="s">
        <v>981</v>
      </c>
      <c r="F8" s="1319" t="s">
        <v>982</v>
      </c>
      <c r="G8" s="1319" t="s">
        <v>982</v>
      </c>
      <c r="H8" s="1324"/>
      <c r="I8" s="1319" t="s">
        <v>981</v>
      </c>
      <c r="J8" s="1319" t="s">
        <v>982</v>
      </c>
      <c r="K8" s="1319" t="s">
        <v>981</v>
      </c>
      <c r="L8" s="1319" t="s">
        <v>982</v>
      </c>
      <c r="M8" s="1319"/>
      <c r="N8" s="1319" t="s">
        <v>981</v>
      </c>
      <c r="O8" s="1319" t="s">
        <v>982</v>
      </c>
      <c r="P8" s="1319" t="s">
        <v>981</v>
      </c>
      <c r="Q8" s="1319" t="s">
        <v>982</v>
      </c>
      <c r="R8" s="1319"/>
      <c r="S8" s="1325" t="s">
        <v>981</v>
      </c>
      <c r="T8" s="1325" t="s">
        <v>982</v>
      </c>
      <c r="U8" s="1325" t="s">
        <v>981</v>
      </c>
      <c r="V8" s="1325" t="s">
        <v>982</v>
      </c>
    </row>
    <row r="9" spans="3:22" s="1329" customFormat="1">
      <c r="C9" s="1326"/>
      <c r="D9" s="1327" t="s">
        <v>983</v>
      </c>
      <c r="E9" s="1327" t="s">
        <v>984</v>
      </c>
      <c r="F9" s="1327" t="s">
        <v>985</v>
      </c>
      <c r="G9" s="1327" t="s">
        <v>986</v>
      </c>
      <c r="H9" s="1327"/>
      <c r="I9" s="1327" t="s">
        <v>983</v>
      </c>
      <c r="J9" s="1327" t="s">
        <v>985</v>
      </c>
      <c r="K9" s="1327" t="s">
        <v>984</v>
      </c>
      <c r="L9" s="1327" t="s">
        <v>986</v>
      </c>
      <c r="M9" s="1327"/>
      <c r="N9" s="1327" t="s">
        <v>983</v>
      </c>
      <c r="O9" s="1327" t="s">
        <v>985</v>
      </c>
      <c r="P9" s="1327" t="s">
        <v>984</v>
      </c>
      <c r="Q9" s="1327" t="s">
        <v>986</v>
      </c>
      <c r="R9" s="1327"/>
      <c r="S9" s="1328" t="s">
        <v>983</v>
      </c>
      <c r="T9" s="1328" t="s">
        <v>985</v>
      </c>
      <c r="U9" s="1328" t="s">
        <v>984</v>
      </c>
      <c r="V9" s="1328" t="s">
        <v>986</v>
      </c>
    </row>
    <row r="10" spans="3:22" ht="6" customHeight="1">
      <c r="C10" s="149"/>
      <c r="D10" s="1324"/>
      <c r="E10" s="1324"/>
      <c r="F10" s="1324"/>
      <c r="G10" s="1324"/>
      <c r="H10" s="1324"/>
      <c r="I10" s="1324"/>
      <c r="J10" s="1324"/>
      <c r="K10" s="1324"/>
      <c r="L10" s="1324"/>
      <c r="M10" s="1324"/>
      <c r="N10" s="1324"/>
      <c r="O10" s="1324"/>
      <c r="P10" s="1324"/>
      <c r="Q10" s="1324"/>
      <c r="R10" s="1324"/>
      <c r="S10" s="1324"/>
      <c r="T10" s="1324"/>
      <c r="U10" s="1324"/>
      <c r="V10" s="1324"/>
    </row>
    <row r="11" spans="3:22">
      <c r="C11" s="153" t="s">
        <v>83</v>
      </c>
      <c r="D11" s="147"/>
      <c r="E11" s="147"/>
      <c r="F11" s="147"/>
      <c r="G11" s="147"/>
      <c r="H11" s="147"/>
      <c r="I11" s="151"/>
      <c r="J11" s="151"/>
      <c r="K11" s="151"/>
      <c r="L11" s="151"/>
      <c r="M11" s="147"/>
      <c r="N11" s="151"/>
      <c r="O11" s="151"/>
      <c r="P11" s="151"/>
      <c r="Q11" s="151"/>
      <c r="R11" s="147"/>
      <c r="S11" s="151"/>
      <c r="T11" s="151"/>
      <c r="U11" s="151"/>
      <c r="V11" s="151"/>
    </row>
    <row r="12" spans="3:22">
      <c r="C12" s="161" t="s">
        <v>103</v>
      </c>
      <c r="D12" s="154"/>
      <c r="E12" s="154"/>
      <c r="F12" s="154"/>
      <c r="G12" s="154"/>
      <c r="H12" s="154"/>
      <c r="I12" s="154"/>
      <c r="J12" s="154"/>
      <c r="K12" s="154"/>
      <c r="L12" s="154"/>
      <c r="M12" s="154"/>
      <c r="N12" s="154"/>
      <c r="O12" s="154"/>
      <c r="P12" s="154"/>
      <c r="Q12" s="154"/>
      <c r="R12" s="154"/>
      <c r="S12" s="154"/>
      <c r="T12" s="154"/>
      <c r="U12" s="154"/>
      <c r="V12" s="154"/>
    </row>
    <row r="13" spans="3:22">
      <c r="C13" s="369" t="s">
        <v>247</v>
      </c>
      <c r="D13" s="1330">
        <f>INDEX('Capital Costs'!$B$9:$O$48,MATCH('Capital Costs Summary'!$C13,'Capital Costs'!$B$9:$B$48,0),MATCH('Capital Costs Summary'!D$3,'Capital Costs'!$B$2:$O$2,0))</f>
        <v>77500000</v>
      </c>
      <c r="E13" s="1330">
        <f>D13/(INDEX('Unit Specifications'!$C$14:$E$14,1,MATCH('Capital Costs Summary'!E$3,'Unit Specifications'!$C$8:$E$8,0))*1000)</f>
        <v>402.92811762381592</v>
      </c>
      <c r="F13" s="1330">
        <f>INDEX('Capital Costs'!$B$9:$O$48,MATCH('Capital Costs Summary'!$C13,'Capital Costs'!$B$9:$B$48,0),MATCH('Capital Costs Summary'!F$3,'Capital Costs'!$B$2:$O$2,0))</f>
        <v>88328000</v>
      </c>
      <c r="G13" s="1330">
        <f>F13/(INDEX('Unit Specifications'!$C$14:$E$14,1,MATCH('Capital Costs Summary'!G$3,'Unit Specifications'!$C$8:$E$8,0))*1000)</f>
        <v>459.22367449646981</v>
      </c>
      <c r="H13" s="154"/>
      <c r="I13" s="1330">
        <f>INDEX('Capital Costs'!$B$9:$O$48,MATCH('Capital Costs Summary'!$C13,'Capital Costs'!$B$9:$B$48,0),MATCH('Capital Costs Summary'!I$3,'Capital Costs'!$B$2:$O$2,0))</f>
        <v>90000000</v>
      </c>
      <c r="J13" s="1331">
        <f>INDEX('Capital Costs'!$B$9:$O$48,MATCH('Capital Costs Summary'!$C13,'Capital Costs'!$B$9:$B$48,0),MATCH('Capital Costs Summary'!J$3,'Capital Costs'!$B$2:$O$2,0))</f>
        <v>102574000</v>
      </c>
      <c r="K13" s="1330">
        <f>I13/(INDEX('Unit Specifications'!$C$14:$E$14,1,MATCH('Capital Costs Summary'!K$3,'Unit Specifications'!$C$8:$E$8,0))*1000)</f>
        <v>123.35526315789474</v>
      </c>
      <c r="L13" s="1330">
        <f>J13/(INDEX('Unit Specifications'!$C$14:$E$14,1,MATCH('Capital Costs Summary'!L$3,'Unit Specifications'!$C$8:$E$8,0))*1000)</f>
        <v>140.58936403508773</v>
      </c>
      <c r="M13" s="154"/>
      <c r="N13" s="1330">
        <f>INDEX('Capital Costs'!$B$9:$O$48,MATCH('Capital Costs Summary'!$C13,'Capital Costs'!$B$9:$B$48,0),MATCH('Capital Costs Summary'!N$3,'Capital Costs'!$B$2:$O$2,0))</f>
        <v>0</v>
      </c>
      <c r="O13" s="1331">
        <f>INDEX('Capital Costs'!$B$9:$O$48,MATCH('Capital Costs Summary'!$C13,'Capital Costs'!$B$9:$B$48,0),MATCH('Capital Costs Summary'!O$3,'Capital Costs'!$B$2:$O$2,0))</f>
        <v>0</v>
      </c>
      <c r="P13" s="1330">
        <f>N13/(INDEX('Unit Specifications'!$C$14:$E$14,1,MATCH('Capital Costs Summary'!P$3,'Unit Specifications'!$C$8:$E$8,0))*1000)</f>
        <v>0</v>
      </c>
      <c r="Q13" s="1330">
        <f>O13/(INDEX('Unit Specifications'!$C$14:$E$14,1,MATCH('Capital Costs Summary'!Q$3,'Unit Specifications'!$C$8:$E$8,0))*1000)</f>
        <v>0</v>
      </c>
      <c r="R13" s="154"/>
      <c r="S13" s="1330">
        <f>INDEX('Capital Costs'!$B$9:$O$48,MATCH('Capital Costs Summary'!$C13,'Capital Costs'!$B$9:$B$48,0),MATCH('Capital Costs Summary'!S$3,'Capital Costs'!$B$2:$O$2,0))</f>
        <v>0</v>
      </c>
      <c r="T13" s="1331"/>
      <c r="U13" s="1330">
        <f>S13/(INDEX('Cost Assumptions'!$D$12:$G$12,1,MATCH('Capital Costs Summary'!U$3,'Cost Assumptions'!$D$8:$G$8,0))*1000)</f>
        <v>0</v>
      </c>
      <c r="V13" s="1332"/>
    </row>
    <row r="14" spans="3:22">
      <c r="C14" s="369" t="s">
        <v>415</v>
      </c>
      <c r="D14" s="1330">
        <f>INDEX('Capital Costs'!$B$9:$O$48,MATCH('Capital Costs Summary'!$C14,'Capital Costs'!$B$9:$B$48,0),MATCH('Capital Costs Summary'!D$3,'Capital Costs'!$B$2:$O$2,0))</f>
        <v>14000000</v>
      </c>
      <c r="E14" s="1330">
        <f>D14/(INDEX('Unit Specifications'!$C$14:$E$14,1,MATCH('Capital Costs Summary'!E$3,'Unit Specifications'!$C$8:$E$8,0))*1000)</f>
        <v>72.7870147965603</v>
      </c>
      <c r="F14" s="1330">
        <f>INDEX('Capital Costs'!$B$9:$O$48,MATCH('Capital Costs Summary'!$C14,'Capital Costs'!$B$9:$B$48,0),MATCH('Capital Costs Summary'!F$3,'Capital Costs'!$B$2:$O$2,0))</f>
        <v>15956000</v>
      </c>
      <c r="G14" s="1330">
        <f>F14/(INDEX('Unit Specifications'!$C$14:$E$14,1,MATCH('Capital Costs Summary'!G$3,'Unit Specifications'!$C$8:$E$8,0))*1000)</f>
        <v>82.956400578136865</v>
      </c>
      <c r="H14" s="154"/>
      <c r="I14" s="1330">
        <f>INDEX('Capital Costs'!$B$9:$O$48,MATCH('Capital Costs Summary'!$C14,'Capital Costs'!$B$9:$B$48,0),MATCH('Capital Costs Summary'!I$3,'Capital Costs'!$B$2:$O$2,0))</f>
        <v>43000000</v>
      </c>
      <c r="J14" s="1331">
        <f>INDEX('Capital Costs'!$B$9:$O$48,MATCH('Capital Costs Summary'!$C14,'Capital Costs'!$B$9:$B$48,0),MATCH('Capital Costs Summary'!J$3,'Capital Costs'!$B$2:$O$2,0))</f>
        <v>49008000</v>
      </c>
      <c r="K14" s="1330">
        <f>I14/(INDEX('Unit Specifications'!$C$14:$E$14,1,MATCH('Capital Costs Summary'!K$3,'Unit Specifications'!$C$8:$E$8,0))*1000)</f>
        <v>58.936403508771932</v>
      </c>
      <c r="L14" s="1330">
        <f>J14/(INDEX('Unit Specifications'!$C$14:$E$14,1,MATCH('Capital Costs Summary'!L$3,'Unit Specifications'!$C$8:$E$8,0))*1000)</f>
        <v>67.171052631578945</v>
      </c>
      <c r="M14" s="154"/>
      <c r="N14" s="1330">
        <f>INDEX('Capital Costs'!$B$9:$O$48,MATCH('Capital Costs Summary'!$C14,'Capital Costs'!$B$9:$B$48,0),MATCH('Capital Costs Summary'!N$3,'Capital Costs'!$B$2:$O$2,0))</f>
        <v>0</v>
      </c>
      <c r="O14" s="1331">
        <f>INDEX('Capital Costs'!$B$9:$O$48,MATCH('Capital Costs Summary'!$C14,'Capital Costs'!$B$9:$B$48,0),MATCH('Capital Costs Summary'!O$3,'Capital Costs'!$B$2:$O$2,0))</f>
        <v>0</v>
      </c>
      <c r="P14" s="1330">
        <f>N14/(INDEX('Unit Specifications'!$C$14:$E$14,1,MATCH('Capital Costs Summary'!P$3,'Unit Specifications'!$C$8:$E$8,0))*1000)</f>
        <v>0</v>
      </c>
      <c r="Q14" s="1330">
        <f>O14/(INDEX('Unit Specifications'!$C$14:$E$14,1,MATCH('Capital Costs Summary'!Q$3,'Unit Specifications'!$C$8:$E$8,0))*1000)</f>
        <v>0</v>
      </c>
      <c r="R14" s="154"/>
      <c r="S14" s="1330">
        <f>INDEX('Capital Costs'!$B$9:$O$48,MATCH('Capital Costs Summary'!$C14,'Capital Costs'!$B$9:$B$48,0),MATCH('Capital Costs Summary'!S$3,'Capital Costs'!$B$2:$O$2,0))</f>
        <v>0</v>
      </c>
      <c r="T14" s="1331"/>
      <c r="U14" s="1330">
        <f>S14/(INDEX('Cost Assumptions'!$D$12:$G$12,1,MATCH('Capital Costs Summary'!U$3,'Cost Assumptions'!$D$8:$G$8,0))*1000)</f>
        <v>0</v>
      </c>
      <c r="V14" s="1332"/>
    </row>
    <row r="15" spans="3:22">
      <c r="C15" s="369" t="s">
        <v>305</v>
      </c>
      <c r="D15" s="1330">
        <f>INDEX('Capital Costs'!$B$9:$O$48,MATCH('Capital Costs Summary'!$C15,'Capital Costs'!$B$9:$B$48,0),MATCH('Capital Costs Summary'!D$3,'Capital Costs'!$B$2:$O$2,0))</f>
        <v>0</v>
      </c>
      <c r="E15" s="1330">
        <f>D15/(INDEX('Unit Specifications'!$C$14:$E$14,1,MATCH('Capital Costs Summary'!E$3,'Unit Specifications'!$C$8:$E$8,0))*1000)</f>
        <v>0</v>
      </c>
      <c r="F15" s="1330">
        <f>INDEX('Capital Costs'!$B$9:$O$48,MATCH('Capital Costs Summary'!$C15,'Capital Costs'!$B$9:$B$48,0),MATCH('Capital Costs Summary'!F$3,'Capital Costs'!$B$2:$O$2,0))</f>
        <v>0</v>
      </c>
      <c r="G15" s="1330">
        <f>F15/(INDEX('Unit Specifications'!$C$14:$E$14,1,MATCH('Capital Costs Summary'!G$3,'Unit Specifications'!$C$8:$E$8,0))*1000)</f>
        <v>0</v>
      </c>
      <c r="H15" s="154"/>
      <c r="I15" s="1330">
        <f>INDEX('Capital Costs'!$B$9:$O$48,MATCH('Capital Costs Summary'!$C15,'Capital Costs'!$B$9:$B$48,0),MATCH('Capital Costs Summary'!I$3,'Capital Costs'!$B$2:$O$2,0))</f>
        <v>26900000</v>
      </c>
      <c r="J15" s="1331">
        <f>INDEX('Capital Costs'!$B$9:$O$48,MATCH('Capital Costs Summary'!$C15,'Capital Costs'!$B$9:$B$48,0),MATCH('Capital Costs Summary'!J$3,'Capital Costs'!$B$2:$O$2,0))</f>
        <v>30658000</v>
      </c>
      <c r="K15" s="1330">
        <f>I15/(INDEX('Unit Specifications'!$C$14:$E$14,1,MATCH('Capital Costs Summary'!K$3,'Unit Specifications'!$C$8:$E$8,0))*1000)</f>
        <v>36.869517543859651</v>
      </c>
      <c r="L15" s="1330">
        <f>J15/(INDEX('Unit Specifications'!$C$14:$E$14,1,MATCH('Capital Costs Summary'!L$3,'Unit Specifications'!$C$8:$E$8,0))*1000)</f>
        <v>42.020285087719301</v>
      </c>
      <c r="M15" s="154"/>
      <c r="N15" s="1330">
        <f>INDEX('Capital Costs'!$B$9:$O$48,MATCH('Capital Costs Summary'!$C15,'Capital Costs'!$B$9:$B$48,0),MATCH('Capital Costs Summary'!N$3,'Capital Costs'!$B$2:$O$2,0))</f>
        <v>0</v>
      </c>
      <c r="O15" s="1331">
        <f>INDEX('Capital Costs'!$B$9:$O$48,MATCH('Capital Costs Summary'!$C15,'Capital Costs'!$B$9:$B$48,0),MATCH('Capital Costs Summary'!O$3,'Capital Costs'!$B$2:$O$2,0))</f>
        <v>0</v>
      </c>
      <c r="P15" s="1330">
        <f>N15/(INDEX('Unit Specifications'!$C$14:$E$14,1,MATCH('Capital Costs Summary'!P$3,'Unit Specifications'!$C$8:$E$8,0))*1000)</f>
        <v>0</v>
      </c>
      <c r="Q15" s="1330">
        <f>O15/(INDEX('Unit Specifications'!$C$14:$E$14,1,MATCH('Capital Costs Summary'!Q$3,'Unit Specifications'!$C$8:$E$8,0))*1000)</f>
        <v>0</v>
      </c>
      <c r="R15" s="154"/>
      <c r="S15" s="1330">
        <f>INDEX('Capital Costs'!$B$9:$O$48,MATCH('Capital Costs Summary'!$C15,'Capital Costs'!$B$9:$B$48,0),MATCH('Capital Costs Summary'!S$3,'Capital Costs'!$B$2:$O$2,0))</f>
        <v>0</v>
      </c>
      <c r="T15" s="1331"/>
      <c r="U15" s="1330">
        <f>S15/(INDEX('Cost Assumptions'!$D$12:$G$12,1,MATCH('Capital Costs Summary'!U$3,'Cost Assumptions'!$D$8:$G$8,0))*1000)</f>
        <v>0</v>
      </c>
      <c r="V15" s="1332"/>
    </row>
    <row r="16" spans="3:22">
      <c r="C16" s="369" t="s">
        <v>249</v>
      </c>
      <c r="D16" s="1330">
        <f>INDEX('Capital Costs'!$B$9:$O$48,MATCH('Capital Costs Summary'!$C16,'Capital Costs'!$B$9:$B$48,0),MATCH('Capital Costs Summary'!D$3,'Capital Costs'!$B$2:$O$2,0))</f>
        <v>0</v>
      </c>
      <c r="E16" s="1330">
        <f>D16/(INDEX('Unit Specifications'!$C$14:$E$14,1,MATCH('Capital Costs Summary'!E$3,'Unit Specifications'!$C$8:$E$8,0))*1000)</f>
        <v>0</v>
      </c>
      <c r="F16" s="1330">
        <f>INDEX('Capital Costs'!$B$9:$O$48,MATCH('Capital Costs Summary'!$C16,'Capital Costs'!$B$9:$B$48,0),MATCH('Capital Costs Summary'!F$3,'Capital Costs'!$B$2:$O$2,0))</f>
        <v>0</v>
      </c>
      <c r="G16" s="1330">
        <f>F16/(INDEX('Unit Specifications'!$C$14:$E$14,1,MATCH('Capital Costs Summary'!G$3,'Unit Specifications'!$C$8:$E$8,0))*1000)</f>
        <v>0</v>
      </c>
      <c r="H16" s="154"/>
      <c r="I16" s="1330">
        <f>INDEX('Capital Costs'!$B$9:$O$48,MATCH('Capital Costs Summary'!$C16,'Capital Costs'!$B$9:$B$48,0),MATCH('Capital Costs Summary'!I$3,'Capital Costs'!$B$2:$O$2,0))</f>
        <v>36000000</v>
      </c>
      <c r="J16" s="1331">
        <f>INDEX('Capital Costs'!$B$9:$O$48,MATCH('Capital Costs Summary'!$C16,'Capital Costs'!$B$9:$B$48,0),MATCH('Capital Costs Summary'!J$3,'Capital Costs'!$B$2:$O$2,0))</f>
        <v>41030000</v>
      </c>
      <c r="K16" s="1330">
        <f>I16/(INDEX('Unit Specifications'!$C$14:$E$14,1,MATCH('Capital Costs Summary'!K$3,'Unit Specifications'!$C$8:$E$8,0))*1000)</f>
        <v>49.342105263157897</v>
      </c>
      <c r="L16" s="1330">
        <f>J16/(INDEX('Unit Specifications'!$C$14:$E$14,1,MATCH('Capital Costs Summary'!L$3,'Unit Specifications'!$C$8:$E$8,0))*1000)</f>
        <v>56.236293859649123</v>
      </c>
      <c r="M16" s="154"/>
      <c r="N16" s="1330">
        <f>INDEX('Capital Costs'!$B$9:$O$48,MATCH('Capital Costs Summary'!$C16,'Capital Costs'!$B$9:$B$48,0),MATCH('Capital Costs Summary'!N$3,'Capital Costs'!$B$2:$O$2,0))</f>
        <v>0</v>
      </c>
      <c r="O16" s="1331">
        <f>INDEX('Capital Costs'!$B$9:$O$48,MATCH('Capital Costs Summary'!$C16,'Capital Costs'!$B$9:$B$48,0),MATCH('Capital Costs Summary'!O$3,'Capital Costs'!$B$2:$O$2,0))</f>
        <v>0</v>
      </c>
      <c r="P16" s="1330">
        <f>N16/(INDEX('Unit Specifications'!$C$14:$E$14,1,MATCH('Capital Costs Summary'!P$3,'Unit Specifications'!$C$8:$E$8,0))*1000)</f>
        <v>0</v>
      </c>
      <c r="Q16" s="1330">
        <f>O16/(INDEX('Unit Specifications'!$C$14:$E$14,1,MATCH('Capital Costs Summary'!Q$3,'Unit Specifications'!$C$8:$E$8,0))*1000)</f>
        <v>0</v>
      </c>
      <c r="R16" s="154"/>
      <c r="S16" s="1330">
        <f>INDEX('Capital Costs'!$B$9:$O$48,MATCH('Capital Costs Summary'!$C16,'Capital Costs'!$B$9:$B$48,0),MATCH('Capital Costs Summary'!S$3,'Capital Costs'!$B$2:$O$2,0))</f>
        <v>0</v>
      </c>
      <c r="T16" s="1331"/>
      <c r="U16" s="1330">
        <f>S16/(INDEX('Cost Assumptions'!$D$12:$G$12,1,MATCH('Capital Costs Summary'!U$3,'Cost Assumptions'!$D$8:$G$8,0))*1000)</f>
        <v>0</v>
      </c>
      <c r="V16" s="1332"/>
    </row>
    <row r="17" spans="3:22" outlineLevel="1">
      <c r="C17" s="369" t="s">
        <v>250</v>
      </c>
      <c r="D17" s="1330">
        <f>INDEX('Capital Costs'!$B$9:$O$48,MATCH('Capital Costs Summary'!$C17,'Capital Costs'!$B$9:$B$48,0),MATCH('Capital Costs Summary'!D$3,'Capital Costs'!$B$2:$O$2,0))</f>
        <v>0</v>
      </c>
      <c r="E17" s="1330">
        <f>D17/(INDEX('Unit Specifications'!$C$14:$E$14,1,MATCH('Capital Costs Summary'!E$3,'Unit Specifications'!$C$8:$E$8,0))*1000)</f>
        <v>0</v>
      </c>
      <c r="F17" s="1330">
        <f>INDEX('Capital Costs'!$B$9:$O$48,MATCH('Capital Costs Summary'!$C17,'Capital Costs'!$B$9:$B$48,0),MATCH('Capital Costs Summary'!F$3,'Capital Costs'!$B$2:$O$2,0))</f>
        <v>0</v>
      </c>
      <c r="G17" s="1330">
        <f>F17/(INDEX('Unit Specifications'!$C$14:$E$14,1,MATCH('Capital Costs Summary'!G$3,'Unit Specifications'!$C$8:$E$8,0))*1000)</f>
        <v>0</v>
      </c>
      <c r="H17" s="154"/>
      <c r="I17" s="1330">
        <f>INDEX('Capital Costs'!$B$9:$O$48,MATCH('Capital Costs Summary'!$C17,'Capital Costs'!$B$9:$B$48,0),MATCH('Capital Costs Summary'!I$3,'Capital Costs'!$B$2:$O$2,0))</f>
        <v>0</v>
      </c>
      <c r="J17" s="1331">
        <f>INDEX('Capital Costs'!$B$9:$O$48,MATCH('Capital Costs Summary'!$C17,'Capital Costs'!$B$9:$B$48,0),MATCH('Capital Costs Summary'!J$3,'Capital Costs'!$B$2:$O$2,0))</f>
        <v>0</v>
      </c>
      <c r="K17" s="1330">
        <f>I17/(INDEX('Unit Specifications'!$C$14:$E$14,1,MATCH('Capital Costs Summary'!K$3,'Unit Specifications'!$C$8:$E$8,0))*1000)</f>
        <v>0</v>
      </c>
      <c r="L17" s="1330">
        <f>J17/(INDEX('Unit Specifications'!$C$14:$E$14,1,MATCH('Capital Costs Summary'!L$3,'Unit Specifications'!$C$8:$E$8,0))*1000)</f>
        <v>0</v>
      </c>
      <c r="M17" s="154"/>
      <c r="N17" s="1330">
        <f>INDEX('Capital Costs'!$B$9:$O$48,MATCH('Capital Costs Summary'!$C17,'Capital Costs'!$B$9:$B$48,0),MATCH('Capital Costs Summary'!N$3,'Capital Costs'!$B$2:$O$2,0))</f>
        <v>77922000</v>
      </c>
      <c r="O17" s="1331">
        <f>INDEX('Capital Costs'!$B$9:$O$48,MATCH('Capital Costs Summary'!$C17,'Capital Costs'!$B$9:$B$48,0),MATCH('Capital Costs Summary'!O$3,'Capital Costs'!$B$2:$O$2,0))</f>
        <v>88809000</v>
      </c>
      <c r="P17" s="1330">
        <f>N17/(INDEX('Unit Specifications'!$C$14:$E$14,1,MATCH('Capital Costs Summary'!P$3,'Unit Specifications'!$C$8:$E$8,0))*1000)</f>
        <v>1299.9999999999998</v>
      </c>
      <c r="Q17" s="1330">
        <f>O17/(INDEX('Unit Specifications'!$C$14:$E$14,1,MATCH('Capital Costs Summary'!Q$3,'Unit Specifications'!$C$8:$E$8,0))*1000)</f>
        <v>1481.6316316316315</v>
      </c>
      <c r="R17" s="154"/>
      <c r="S17" s="1330">
        <f>INDEX('Capital Costs'!$B$9:$O$48,MATCH('Capital Costs Summary'!$C17,'Capital Costs'!$B$9:$B$48,0),MATCH('Capital Costs Summary'!S$3,'Capital Costs'!$B$2:$O$2,0))</f>
        <v>0</v>
      </c>
      <c r="T17" s="1331"/>
      <c r="U17" s="1330">
        <f>S17/(INDEX('Cost Assumptions'!$D$12:$G$12,1,MATCH('Capital Costs Summary'!U$3,'Cost Assumptions'!$D$8:$G$8,0))*1000)</f>
        <v>0</v>
      </c>
      <c r="V17" s="1332"/>
    </row>
    <row r="18" spans="3:22" outlineLevel="1">
      <c r="C18" s="369" t="s">
        <v>862</v>
      </c>
      <c r="D18" s="1330">
        <f>INDEX('Capital Costs'!$B$9:$O$48,MATCH('Capital Costs Summary'!$C18,'Capital Costs'!$B$9:$B$48,0),MATCH('Capital Costs Summary'!D$3,'Capital Costs'!$B$2:$O$2,0))</f>
        <v>0</v>
      </c>
      <c r="E18" s="1330">
        <f>D18/(INDEX('Unit Specifications'!$C$14:$E$14,1,MATCH('Capital Costs Summary'!E$3,'Unit Specifications'!$C$8:$E$8,0))*1000)</f>
        <v>0</v>
      </c>
      <c r="F18" s="1330">
        <f>INDEX('Capital Costs'!$B$9:$O$48,MATCH('Capital Costs Summary'!$C18,'Capital Costs'!$B$9:$B$48,0),MATCH('Capital Costs Summary'!F$3,'Capital Costs'!$B$2:$O$2,0))</f>
        <v>0</v>
      </c>
      <c r="G18" s="1330">
        <f>F18/(INDEX('Unit Specifications'!$C$14:$E$14,1,MATCH('Capital Costs Summary'!G$3,'Unit Specifications'!$C$8:$E$8,0))*1000)</f>
        <v>0</v>
      </c>
      <c r="H18" s="154"/>
      <c r="I18" s="1330">
        <f>INDEX('Capital Costs'!$B$9:$O$48,MATCH('Capital Costs Summary'!$C18,'Capital Costs'!$B$9:$B$48,0),MATCH('Capital Costs Summary'!I$3,'Capital Costs'!$B$2:$O$2,0))</f>
        <v>0</v>
      </c>
      <c r="J18" s="1331">
        <f>INDEX('Capital Costs'!$B$9:$O$48,MATCH('Capital Costs Summary'!$C18,'Capital Costs'!$B$9:$B$48,0),MATCH('Capital Costs Summary'!J$3,'Capital Costs'!$B$2:$O$2,0))</f>
        <v>0</v>
      </c>
      <c r="K18" s="1330">
        <f>I18/(INDEX('Unit Specifications'!$C$14:$E$14,1,MATCH('Capital Costs Summary'!K$3,'Unit Specifications'!$C$8:$E$8,0))*1000)</f>
        <v>0</v>
      </c>
      <c r="L18" s="1330">
        <f>J18/(INDEX('Unit Specifications'!$C$14:$E$14,1,MATCH('Capital Costs Summary'!L$3,'Unit Specifications'!$C$8:$E$8,0))*1000)</f>
        <v>0</v>
      </c>
      <c r="M18" s="154"/>
      <c r="N18" s="1330">
        <f>INDEX('Capital Costs'!$B$9:$O$48,MATCH('Capital Costs Summary'!$C18,'Capital Costs'!$B$9:$B$48,0),MATCH('Capital Costs Summary'!N$3,'Capital Costs'!$B$2:$O$2,0))</f>
        <v>0</v>
      </c>
      <c r="O18" s="1331">
        <f>INDEX('Capital Costs'!$B$9:$O$48,MATCH('Capital Costs Summary'!$C18,'Capital Costs'!$B$9:$B$48,0),MATCH('Capital Costs Summary'!O$3,'Capital Costs'!$B$2:$O$2,0))</f>
        <v>0</v>
      </c>
      <c r="P18" s="1330">
        <f>N18/(INDEX('Unit Specifications'!$C$14:$E$14,1,MATCH('Capital Costs Summary'!P$3,'Unit Specifications'!$C$8:$E$8,0))*1000)</f>
        <v>0</v>
      </c>
      <c r="Q18" s="1330">
        <f>O18/(INDEX('Unit Specifications'!$C$14:$E$14,1,MATCH('Capital Costs Summary'!Q$3,'Unit Specifications'!$C$8:$E$8,0))*1000)</f>
        <v>0</v>
      </c>
      <c r="R18" s="154"/>
      <c r="S18" s="1330">
        <f>INDEX('Capital Costs'!$B$9:$O$48,MATCH('Capital Costs Summary'!$C18,'Capital Costs'!$B$9:$B$48,0),MATCH('Capital Costs Summary'!S$3,'Capital Costs'!$B$2:$O$2,0))</f>
        <v>8100000</v>
      </c>
      <c r="T18" s="1330"/>
      <c r="U18" s="1330">
        <f>S18/(INDEX('Cost Assumptions'!$D$12:$G$12,1,MATCH('Capital Costs Summary'!U$3,'Cost Assumptions'!$D$8:$G$8,0))*1000)</f>
        <v>1350</v>
      </c>
      <c r="V18" s="1333"/>
    </row>
    <row r="19" spans="3:22">
      <c r="C19" s="369" t="s">
        <v>251</v>
      </c>
      <c r="D19" s="1330">
        <f>INDEX('Capital Costs'!$B$9:$O$48,MATCH('Capital Costs Summary'!$C19,'Capital Costs'!$B$9:$B$48,0),MATCH('Capital Costs Summary'!D$3,'Capital Costs'!$B$2:$O$2,0))</f>
        <v>29013000</v>
      </c>
      <c r="E19" s="1330">
        <f>D19/(INDEX('Unit Specifications'!$C$14:$E$14,1,MATCH('Capital Costs Summary'!E$3,'Unit Specifications'!$C$8:$E$8,0))*1000)</f>
        <v>150.84069002090027</v>
      </c>
      <c r="F19" s="1330">
        <f>INDEX('Capital Costs'!$B$9:$O$48,MATCH('Capital Costs Summary'!$C19,'Capital Costs'!$B$9:$B$48,0),MATCH('Capital Costs Summary'!F$3,'Capital Costs'!$B$2:$O$2,0))</f>
        <v>33066000</v>
      </c>
      <c r="G19" s="1330">
        <f>F19/(INDEX('Unit Specifications'!$C$14:$E$14,1,MATCH('Capital Costs Summary'!G$3,'Unit Specifications'!$C$8:$E$8,0))*1000)</f>
        <v>171.91253080450448</v>
      </c>
      <c r="H19" s="154"/>
      <c r="I19" s="1330">
        <f>INDEX('Capital Costs'!$B$9:$O$48,MATCH('Capital Costs Summary'!$C19,'Capital Costs'!$B$9:$B$48,0),MATCH('Capital Costs Summary'!I$3,'Capital Costs'!$B$2:$O$2,0))</f>
        <v>50093000</v>
      </c>
      <c r="J19" s="1331">
        <f>INDEX('Capital Costs'!$B$9:$O$48,MATCH('Capital Costs Summary'!$C19,'Capital Costs'!$B$9:$B$48,0),MATCH('Capital Costs Summary'!J$3,'Capital Costs'!$B$2:$O$2,0))</f>
        <v>57092000</v>
      </c>
      <c r="K19" s="1330">
        <f>I19/(INDEX('Unit Specifications'!$C$14:$E$14,1,MATCH('Capital Costs Summary'!K$3,'Unit Specifications'!$C$8:$E$8,0))*1000)</f>
        <v>68.658168859649123</v>
      </c>
      <c r="L19" s="1330">
        <f>J19/(INDEX('Unit Specifications'!$C$14:$E$14,1,MATCH('Capital Costs Summary'!L$3,'Unit Specifications'!$C$8:$E$8,0))*1000)</f>
        <v>78.251096491228068</v>
      </c>
      <c r="M19" s="154"/>
      <c r="N19" s="1330">
        <f>INDEX('Capital Costs'!$B$9:$O$48,MATCH('Capital Costs Summary'!$C19,'Capital Costs'!$B$9:$B$48,0),MATCH('Capital Costs Summary'!N$3,'Capital Costs'!$B$2:$O$2,0))</f>
        <v>5994000</v>
      </c>
      <c r="O19" s="1331">
        <f>INDEX('Capital Costs'!$B$9:$O$48,MATCH('Capital Costs Summary'!$C19,'Capital Costs'!$B$9:$B$48,0),MATCH('Capital Costs Summary'!O$3,'Capital Costs'!$B$2:$O$2,0))</f>
        <v>6831000</v>
      </c>
      <c r="P19" s="1330">
        <f>N19/(INDEX('Unit Specifications'!$C$14:$E$14,1,MATCH('Capital Costs Summary'!P$3,'Unit Specifications'!$C$8:$E$8,0))*1000)</f>
        <v>99.999999999999986</v>
      </c>
      <c r="Q19" s="1330">
        <f>O19/(INDEX('Unit Specifications'!$C$14:$E$14,1,MATCH('Capital Costs Summary'!Q$3,'Unit Specifications'!$C$8:$E$8,0))*1000)</f>
        <v>113.96396396396395</v>
      </c>
      <c r="R19" s="154"/>
      <c r="S19" s="1330">
        <f>INDEX('Capital Costs'!$B$9:$O$48,MATCH('Capital Costs Summary'!$C19,'Capital Costs'!$B$9:$B$48,0),MATCH('Capital Costs Summary'!S$3,'Capital Costs'!$B$2:$O$2,0))</f>
        <v>0</v>
      </c>
      <c r="T19" s="1330"/>
      <c r="U19" s="1330">
        <f>S19/(INDEX('Cost Assumptions'!$D$12:$G$12,1,MATCH('Capital Costs Summary'!U$3,'Cost Assumptions'!$D$8:$G$8,0))*1000)</f>
        <v>0</v>
      </c>
      <c r="V19" s="1333"/>
    </row>
    <row r="20" spans="3:22">
      <c r="C20" s="161" t="s">
        <v>127</v>
      </c>
      <c r="D20" s="1330">
        <f>INDEX('Capital Costs'!$B$9:$O$48,MATCH('Capital Costs Summary'!$C20,'Capital Costs'!$B$9:$B$48,0),MATCH('Capital Costs Summary'!D$3,'Capital Costs'!$B$2:$O$2,0))</f>
        <v>38612000</v>
      </c>
      <c r="E20" s="1330">
        <f>D20/(INDEX('Unit Specifications'!$C$14:$E$14,1,MATCH('Capital Costs Summary'!E$3,'Unit Specifications'!$C$8:$E$8,0))*1000)</f>
        <v>200.74658680891329</v>
      </c>
      <c r="F20" s="1330">
        <f>INDEX('Capital Costs'!$B$9:$O$48,MATCH('Capital Costs Summary'!$C20,'Capital Costs'!$B$9:$B$48,0),MATCH('Capital Costs Summary'!F$3,'Capital Costs'!$B$2:$O$2,0))</f>
        <v>46415000</v>
      </c>
      <c r="G20" s="1330">
        <f>F20/(INDEX('Unit Specifications'!$C$14:$E$14,1,MATCH('Capital Costs Summary'!G$3,'Unit Specifications'!$C$8:$E$8,0))*1000)</f>
        <v>241.31494941302472</v>
      </c>
      <c r="H20" s="154"/>
      <c r="I20" s="1330">
        <f>INDEX('Capital Costs'!$B$9:$O$48,MATCH('Capital Costs Summary'!$C20,'Capital Costs'!$B$9:$B$48,0),MATCH('Capital Costs Summary'!I$3,'Capital Costs'!$B$2:$O$2,0))</f>
        <v>154140000</v>
      </c>
      <c r="J20" s="1331">
        <f>INDEX('Capital Costs'!$B$9:$O$48,MATCH('Capital Costs Summary'!$C20,'Capital Costs'!$B$9:$B$48,0),MATCH('Capital Costs Summary'!J$3,'Capital Costs'!$B$2:$O$2,0))</f>
        <v>185292000</v>
      </c>
      <c r="K20" s="1330">
        <f>I20/(INDEX('Unit Specifications'!$C$14:$E$14,1,MATCH('Capital Costs Summary'!K$3,'Unit Specifications'!$C$8:$E$8,0))*1000)</f>
        <v>211.26644736842104</v>
      </c>
      <c r="L20" s="1330">
        <f>J20/(INDEX('Unit Specifications'!$C$14:$E$14,1,MATCH('Capital Costs Summary'!L$3,'Unit Specifications'!$C$8:$E$8,0))*1000)</f>
        <v>253.96381578947367</v>
      </c>
      <c r="M20" s="154"/>
      <c r="N20" s="1330">
        <f>INDEX('Capital Costs'!$B$9:$O$48,MATCH('Capital Costs Summary'!$C20,'Capital Costs'!$B$9:$B$48,0),MATCH('Capital Costs Summary'!N$3,'Capital Costs'!$B$2:$O$2,0))</f>
        <v>7193000</v>
      </c>
      <c r="O20" s="1331">
        <f>INDEX('Capital Costs'!$B$9:$O$48,MATCH('Capital Costs Summary'!$C20,'Capital Costs'!$B$9:$B$48,0),MATCH('Capital Costs Summary'!O$3,'Capital Costs'!$B$2:$O$2,0))</f>
        <v>8647000</v>
      </c>
      <c r="P20" s="1330">
        <f>N20/(INDEX('Unit Specifications'!$C$14:$E$14,1,MATCH('Capital Costs Summary'!P$3,'Unit Specifications'!$C$8:$E$8,0))*1000)</f>
        <v>120.00333667000332</v>
      </c>
      <c r="Q20" s="1330">
        <f>O20/(INDEX('Unit Specifications'!$C$14:$E$14,1,MATCH('Capital Costs Summary'!Q$3,'Unit Specifications'!$C$8:$E$8,0))*1000)</f>
        <v>144.26092759426092</v>
      </c>
      <c r="R20" s="154"/>
      <c r="S20" s="1330">
        <f>INDEX('Capital Costs'!$B$9:$O$48,MATCH('Capital Costs Summary'!$C20,'Capital Costs'!$B$9:$B$48,0),MATCH('Capital Costs Summary'!S$3,'Capital Costs'!$B$2:$O$2,0))</f>
        <v>2520000</v>
      </c>
      <c r="T20" s="1330"/>
      <c r="U20" s="1330">
        <f>S20/(INDEX('Cost Assumptions'!$D$12:$G$12,1,MATCH('Capital Costs Summary'!U$3,'Cost Assumptions'!$D$8:$G$8,0))*1000)</f>
        <v>420</v>
      </c>
      <c r="V20" s="1333"/>
    </row>
    <row r="21" spans="3:22">
      <c r="C21" s="164" t="s">
        <v>324</v>
      </c>
      <c r="D21" s="1330">
        <f>INDEX('Capital Costs'!$B$9:$O$48,MATCH('Capital Costs Summary'!$C21,'Capital Costs'!$B$9:$B$48,0),MATCH('Capital Costs Summary'!D$3,'Capital Costs'!$B$2:$O$2,0))</f>
        <v>14121000</v>
      </c>
      <c r="E21" s="1330">
        <f>D21/(INDEX('Unit Specifications'!$C$14:$E$14,1,MATCH('Capital Costs Summary'!E$3,'Unit Specifications'!$C$8:$E$8,0))*1000)</f>
        <v>73.416102567301991</v>
      </c>
      <c r="F21" s="1330">
        <f>INDEX('Capital Costs'!$B$9:$O$48,MATCH('Capital Costs Summary'!$C21,'Capital Costs'!$B$9:$B$48,0),MATCH('Capital Costs Summary'!F$3,'Capital Costs'!$B$2:$O$2,0))</f>
        <v>16975000</v>
      </c>
      <c r="G21" s="1330">
        <f>F21/(INDEX('Unit Specifications'!$C$14:$E$14,1,MATCH('Capital Costs Summary'!G$3,'Unit Specifications'!$C$8:$E$8,0))*1000)</f>
        <v>88.254255440829354</v>
      </c>
      <c r="H21" s="154"/>
      <c r="I21" s="1330">
        <f>INDEX('Capital Costs'!$B$9:$O$48,MATCH('Capital Costs Summary'!$C21,'Capital Costs'!$B$9:$B$48,0),MATCH('Capital Costs Summary'!I$3,'Capital Costs'!$B$2:$O$2,0))</f>
        <v>36833000</v>
      </c>
      <c r="J21" s="1331">
        <f>INDEX('Capital Costs'!$B$9:$O$48,MATCH('Capital Costs Summary'!$C21,'Capital Costs'!$B$9:$B$48,0),MATCH('Capital Costs Summary'!J$3,'Capital Costs'!$B$2:$O$2,0))</f>
        <v>44277000</v>
      </c>
      <c r="K21" s="1330">
        <f>I21/(INDEX('Unit Specifications'!$C$14:$E$14,1,MATCH('Capital Costs Summary'!K$3,'Unit Specifications'!$C$8:$E$8,0))*1000)</f>
        <v>50.483826754385966</v>
      </c>
      <c r="L21" s="1330">
        <f>J21/(INDEX('Unit Specifications'!$C$14:$E$14,1,MATCH('Capital Costs Summary'!L$3,'Unit Specifications'!$C$8:$E$8,0))*1000)</f>
        <v>60.686677631578945</v>
      </c>
      <c r="M21" s="154"/>
      <c r="N21" s="1330">
        <f>INDEX('Capital Costs'!$B$9:$O$48,MATCH('Capital Costs Summary'!$C21,'Capital Costs'!$B$9:$B$48,0),MATCH('Capital Costs Summary'!N$3,'Capital Costs'!$B$2:$O$2,0))</f>
        <v>1798000</v>
      </c>
      <c r="O21" s="1331">
        <f>INDEX('Capital Costs'!$B$9:$O$48,MATCH('Capital Costs Summary'!$C21,'Capital Costs'!$B$9:$B$48,0),MATCH('Capital Costs Summary'!O$3,'Capital Costs'!$B$2:$O$2,0))</f>
        <v>2161000</v>
      </c>
      <c r="P21" s="1330">
        <f>N21/(INDEX('Unit Specifications'!$C$14:$E$14,1,MATCH('Capital Costs Summary'!P$3,'Unit Specifications'!$C$8:$E$8,0))*1000)</f>
        <v>29.996663329996661</v>
      </c>
      <c r="Q21" s="1330">
        <f>O21/(INDEX('Unit Specifications'!$C$14:$E$14,1,MATCH('Capital Costs Summary'!Q$3,'Unit Specifications'!$C$8:$E$8,0))*1000)</f>
        <v>36.052719386052715</v>
      </c>
      <c r="R21" s="154"/>
      <c r="S21" s="1330">
        <f>INDEX('Capital Costs'!$B$9:$O$48,MATCH('Capital Costs Summary'!$C21,'Capital Costs'!$B$9:$B$48,0),MATCH('Capital Costs Summary'!S$3,'Capital Costs'!$B$2:$O$2,0))</f>
        <v>1020000</v>
      </c>
      <c r="T21" s="1330"/>
      <c r="U21" s="1330">
        <f>S21/(INDEX('Cost Assumptions'!$D$12:$G$12,1,MATCH('Capital Costs Summary'!U$3,'Cost Assumptions'!$D$8:$G$8,0))*1000)</f>
        <v>170</v>
      </c>
      <c r="V21" s="1333"/>
    </row>
    <row r="22" spans="3:22">
      <c r="C22" s="161" t="s">
        <v>102</v>
      </c>
      <c r="D22" s="1330">
        <f>INDEX('Capital Costs'!$B$9:$O$48,MATCH('Capital Costs Summary'!$C22,'Capital Costs'!$B$9:$B$48,0),MATCH('Capital Costs Summary'!D$3,'Capital Costs'!$B$2:$O$2,0))</f>
        <v>7007000</v>
      </c>
      <c r="E22" s="1330">
        <f>D22/(INDEX('Unit Specifications'!$C$14:$E$14,1,MATCH('Capital Costs Summary'!E$3,'Unit Specifications'!$C$8:$E$8,0))*1000)</f>
        <v>36.42990090567843</v>
      </c>
      <c r="F22" s="1330">
        <f>INDEX('Capital Costs'!$B$9:$O$48,MATCH('Capital Costs Summary'!$C22,'Capital Costs'!$B$9:$B$48,0),MATCH('Capital Costs Summary'!F$3,'Capital Costs'!$B$2:$O$2,0))</f>
        <v>7986000</v>
      </c>
      <c r="G22" s="1330">
        <f>F22/(INDEX('Unit Specifications'!$C$14:$E$14,1,MATCH('Capital Costs Summary'!G$3,'Unit Specifications'!$C$8:$E$8,0))*1000)</f>
        <v>41.51979286895218</v>
      </c>
      <c r="H22" s="154"/>
      <c r="I22" s="1330">
        <f>INDEX('Capital Costs'!$B$9:$O$48,MATCH('Capital Costs Summary'!$C22,'Capital Costs'!$B$9:$B$48,0),MATCH('Capital Costs Summary'!I$3,'Capital Costs'!$B$2:$O$2,0))</f>
        <v>33198000</v>
      </c>
      <c r="J22" s="1331">
        <f>INDEX('Capital Costs'!$B$9:$O$48,MATCH('Capital Costs Summary'!$C22,'Capital Costs'!$B$9:$B$48,0),MATCH('Capital Costs Summary'!J$3,'Capital Costs'!$B$2:$O$2,0))</f>
        <v>37836000</v>
      </c>
      <c r="K22" s="1330">
        <f>I22/(INDEX('Unit Specifications'!$C$14:$E$14,1,MATCH('Capital Costs Summary'!K$3,'Unit Specifications'!$C$8:$E$8,0))*1000)</f>
        <v>45.501644736842103</v>
      </c>
      <c r="L22" s="1330">
        <f>J22/(INDEX('Unit Specifications'!$C$14:$E$14,1,MATCH('Capital Costs Summary'!L$3,'Unit Specifications'!$C$8:$E$8,0))*1000)</f>
        <v>51.858552631578945</v>
      </c>
      <c r="M22" s="154"/>
      <c r="N22" s="1330">
        <f>INDEX('Capital Costs'!$B$9:$O$48,MATCH('Capital Costs Summary'!$C22,'Capital Costs'!$B$9:$B$48,0),MATCH('Capital Costs Summary'!N$3,'Capital Costs'!$B$2:$O$2,0))</f>
        <v>6593000</v>
      </c>
      <c r="O22" s="1331">
        <f>INDEX('Capital Costs'!$B$9:$O$48,MATCH('Capital Costs Summary'!$C22,'Capital Costs'!$B$9:$B$48,0),MATCH('Capital Costs Summary'!O$3,'Capital Costs'!$B$2:$O$2,0))</f>
        <v>7514000</v>
      </c>
      <c r="P22" s="1330">
        <f>N22/(INDEX('Unit Specifications'!$C$14:$E$14,1,MATCH('Capital Costs Summary'!P$3,'Unit Specifications'!$C$8:$E$8,0))*1000)</f>
        <v>109.99332665999331</v>
      </c>
      <c r="Q22" s="1330">
        <f>O22/(INDEX('Unit Specifications'!$C$14:$E$14,1,MATCH('Capital Costs Summary'!Q$3,'Unit Specifications'!$C$8:$E$8,0))*1000)</f>
        <v>125.35869202535868</v>
      </c>
      <c r="R22" s="154"/>
      <c r="S22" s="1330">
        <f>INDEX('Capital Costs'!$B$9:$O$48,MATCH('Capital Costs Summary'!$C22,'Capital Costs'!$B$9:$B$48,0),MATCH('Capital Costs Summary'!S$3,'Capital Costs'!$B$2:$O$2,0))</f>
        <v>2160000</v>
      </c>
      <c r="T22" s="1330"/>
      <c r="U22" s="1330">
        <f>S22/(INDEX('Cost Assumptions'!$D$12:$G$12,1,MATCH('Capital Costs Summary'!U$3,'Cost Assumptions'!$D$8:$G$8,0))*1000)</f>
        <v>360</v>
      </c>
      <c r="V22" s="1333"/>
    </row>
    <row r="23" spans="3:22">
      <c r="C23" s="161" t="s">
        <v>306</v>
      </c>
      <c r="D23" s="1330">
        <f>INDEX('Capital Costs'!$B$9:$O$48,MATCH('Capital Costs Summary'!$C23,'Capital Costs'!$B$9:$B$48,0),MATCH('Capital Costs Summary'!D$3,'Capital Costs'!$B$2:$O$2,0))</f>
        <v>7970000</v>
      </c>
      <c r="E23" s="1330">
        <f>D23/(INDEX('Unit Specifications'!$C$14:$E$14,1,MATCH('Capital Costs Summary'!E$3,'Unit Specifications'!$C$8:$E$8,0))*1000)</f>
        <v>41.436607709184685</v>
      </c>
      <c r="F23" s="1330">
        <f>INDEX('Capital Costs'!$B$9:$O$48,MATCH('Capital Costs Summary'!$C23,'Capital Costs'!$B$9:$B$48,0),MATCH('Capital Costs Summary'!F$3,'Capital Costs'!$B$2:$O$2,0))</f>
        <v>9084000</v>
      </c>
      <c r="G23" s="1330">
        <f>F23/(INDEX('Unit Specifications'!$C$14:$E$14,1,MATCH('Capital Costs Summary'!G$3,'Unit Specifications'!$C$8:$E$8,0))*1000)</f>
        <v>47.228374457996694</v>
      </c>
      <c r="H23" s="154"/>
      <c r="I23" s="1330">
        <f>INDEX('Capital Costs'!$B$9:$O$48,MATCH('Capital Costs Summary'!$C23,'Capital Costs'!$B$9:$B$48,0),MATCH('Capital Costs Summary'!I$3,'Capital Costs'!$B$2:$O$2,0))</f>
        <v>17449000</v>
      </c>
      <c r="J23" s="1331">
        <f>INDEX('Capital Costs'!$B$9:$O$48,MATCH('Capital Costs Summary'!$C23,'Capital Costs'!$B$9:$B$48,0),MATCH('Capital Costs Summary'!J$3,'Capital Costs'!$B$2:$O$2,0))</f>
        <v>19887000</v>
      </c>
      <c r="K23" s="1330">
        <f>I23/(INDEX('Unit Specifications'!$C$14:$E$14,1,MATCH('Capital Costs Summary'!K$3,'Unit Specifications'!$C$8:$E$8,0))*1000)</f>
        <v>23.915844298245613</v>
      </c>
      <c r="L23" s="1330">
        <f>J23/(INDEX('Unit Specifications'!$C$14:$E$14,1,MATCH('Capital Costs Summary'!L$3,'Unit Specifications'!$C$8:$E$8,0))*1000)</f>
        <v>27.257401315789473</v>
      </c>
      <c r="M23" s="154"/>
      <c r="N23" s="1330">
        <f>INDEX('Capital Costs'!$B$9:$O$48,MATCH('Capital Costs Summary'!$C23,'Capital Costs'!$B$9:$B$48,0),MATCH('Capital Costs Summary'!N$3,'Capital Costs'!$B$2:$O$2,0))</f>
        <v>4525000</v>
      </c>
      <c r="O23" s="1331">
        <f>INDEX('Capital Costs'!$B$9:$O$48,MATCH('Capital Costs Summary'!$C23,'Capital Costs'!$B$9:$B$48,0),MATCH('Capital Costs Summary'!O$3,'Capital Costs'!$B$2:$O$2,0))</f>
        <v>5158000</v>
      </c>
      <c r="P23" s="1330">
        <f>N23/(INDEX('Unit Specifications'!$C$14:$E$14,1,MATCH('Capital Costs Summary'!P$3,'Unit Specifications'!$C$8:$E$8,0))*1000)</f>
        <v>75.492158825492155</v>
      </c>
      <c r="Q23" s="1330">
        <f>O23/(INDEX('Unit Specifications'!$C$14:$E$14,1,MATCH('Capital Costs Summary'!Q$3,'Unit Specifications'!$C$8:$E$8,0))*1000)</f>
        <v>86.052719386052715</v>
      </c>
      <c r="R23" s="154"/>
      <c r="S23" s="1330">
        <f>INDEX('Capital Costs'!$B$9:$O$48,MATCH('Capital Costs Summary'!$C23,'Capital Costs'!$B$9:$B$48,0),MATCH('Capital Costs Summary'!S$3,'Capital Costs'!$B$2:$O$2,0))</f>
        <v>0</v>
      </c>
      <c r="T23" s="1330"/>
      <c r="U23" s="1330">
        <f>S23/(INDEX('Cost Assumptions'!$D$12:$G$12,1,MATCH('Capital Costs Summary'!U$3,'Cost Assumptions'!$D$8:$G$8,0))*1000)</f>
        <v>0</v>
      </c>
      <c r="V23" s="1333"/>
    </row>
    <row r="24" spans="3:22">
      <c r="C24" s="161" t="s">
        <v>129</v>
      </c>
      <c r="D24" s="1330">
        <f>INDEX('Capital Costs'!$B$9:$O$48,MATCH('Capital Costs Summary'!$C24,'Capital Costs'!$B$9:$B$48,0),MATCH('Capital Costs Summary'!D$3,'Capital Costs'!$B$2:$O$2,0))</f>
        <v>18822000</v>
      </c>
      <c r="E24" s="1330">
        <f>D24/(INDEX('Unit Specifications'!$C$14:$E$14,1,MATCH('Capital Costs Summary'!E$3,'Unit Specifications'!$C$8:$E$8,0))*1000)</f>
        <v>97.856942321489839</v>
      </c>
      <c r="F24" s="1330">
        <f>INDEX('Capital Costs'!$B$9:$O$48,MATCH('Capital Costs Summary'!$C24,'Capital Costs'!$B$9:$B$48,0),MATCH('Capital Costs Summary'!F$3,'Capital Costs'!$B$2:$O$2,0))</f>
        <v>21781000</v>
      </c>
      <c r="G24" s="1330">
        <f>F24/(INDEX('Unit Specifications'!$C$14:$E$14,1,MATCH('Capital Costs Summary'!G$3,'Unit Specifications'!$C$8:$E$8,0))*1000)</f>
        <v>113.24099780599141</v>
      </c>
      <c r="H24" s="154"/>
      <c r="I24" s="1330">
        <f>INDEX('Capital Costs'!$B$9:$O$48,MATCH('Capital Costs Summary'!$C24,'Capital Costs'!$B$9:$B$48,0),MATCH('Capital Costs Summary'!I$3,'Capital Costs'!$B$2:$O$2,0))</f>
        <v>58514000</v>
      </c>
      <c r="J24" s="1331">
        <f>INDEX('Capital Costs'!$B$9:$O$48,MATCH('Capital Costs Summary'!$C24,'Capital Costs'!$B$9:$B$48,0),MATCH('Capital Costs Summary'!J$3,'Capital Costs'!$B$2:$O$2,0))</f>
        <v>68118000</v>
      </c>
      <c r="K24" s="1330">
        <f>I24/(INDEX('Unit Specifications'!$C$14:$E$14,1,MATCH('Capital Costs Summary'!K$3,'Unit Specifications'!$C$8:$E$8,0))*1000)</f>
        <v>80.200109649122808</v>
      </c>
      <c r="L24" s="1330">
        <f>J24/(INDEX('Unit Specifications'!$C$14:$E$14,1,MATCH('Capital Costs Summary'!L$3,'Unit Specifications'!$C$8:$E$8,0))*1000)</f>
        <v>93.36348684210526</v>
      </c>
      <c r="M24" s="154"/>
      <c r="N24" s="1330">
        <f>INDEX('Capital Costs'!$B$9:$O$48,MATCH('Capital Costs Summary'!$C24,'Capital Costs'!$B$9:$B$48,0),MATCH('Capital Costs Summary'!N$3,'Capital Costs'!$B$2:$O$2,0))</f>
        <v>10403000</v>
      </c>
      <c r="O24" s="1331">
        <f>INDEX('Capital Costs'!$B$9:$O$48,MATCH('Capital Costs Summary'!$C24,'Capital Costs'!$B$9:$B$48,0),MATCH('Capital Costs Summary'!O$3,'Capital Costs'!$B$2:$O$2,0))</f>
        <v>11912000</v>
      </c>
      <c r="P24" s="1330">
        <f>N24/(INDEX('Unit Specifications'!$C$14:$E$14,1,MATCH('Capital Costs Summary'!P$3,'Unit Specifications'!$C$8:$E$8,0))*1000)</f>
        <v>173.55689022355688</v>
      </c>
      <c r="Q24" s="1330">
        <f>O24/(INDEX('Unit Specifications'!$C$14:$E$14,1,MATCH('Capital Costs Summary'!Q$3,'Unit Specifications'!$C$8:$E$8,0))*1000)</f>
        <v>198.73206539873203</v>
      </c>
      <c r="R24" s="154"/>
      <c r="S24" s="1330">
        <f>INDEX('Capital Costs'!$B$9:$O$48,MATCH('Capital Costs Summary'!$C24,'Capital Costs'!$B$9:$B$48,0),MATCH('Capital Costs Summary'!S$3,'Capital Costs'!$B$2:$O$2,0))</f>
        <v>1380000</v>
      </c>
      <c r="T24" s="1330"/>
      <c r="U24" s="1330">
        <f>S24/(INDEX('Cost Assumptions'!$D$12:$G$12,1,MATCH('Capital Costs Summary'!U$3,'Cost Assumptions'!$D$8:$G$8,0))*1000)</f>
        <v>230</v>
      </c>
      <c r="V24" s="1333"/>
    </row>
    <row r="25" spans="3:22">
      <c r="C25" s="161" t="s">
        <v>182</v>
      </c>
      <c r="D25" s="1330">
        <f>INDEX('Capital Costs'!$B$9:$O$48,MATCH('Capital Costs Summary'!$C25,'Capital Costs'!$B$9:$B$48,0),MATCH('Capital Costs Summary'!D$3,'Capital Costs'!$B$2:$O$2,0))</f>
        <v>20705000</v>
      </c>
      <c r="E25" s="1330">
        <f>D25/(INDEX('Unit Specifications'!$C$14:$E$14,1,MATCH('Capital Costs Summary'!E$3,'Unit Specifications'!$C$8:$E$8,0))*1000)</f>
        <v>107.6467958116272</v>
      </c>
      <c r="F25" s="1330">
        <f>INDEX('Capital Costs'!$B$9:$O$48,MATCH('Capital Costs Summary'!$C25,'Capital Costs'!$B$9:$B$48,0),MATCH('Capital Costs Summary'!F$3,'Capital Costs'!$B$2:$O$2,0))</f>
        <v>23959000</v>
      </c>
      <c r="G25" s="1330">
        <f>F25/(INDEX('Unit Specifications'!$C$14:$E$14,1,MATCH('Capital Costs Summary'!G$3,'Unit Specifications'!$C$8:$E$8,0))*1000)</f>
        <v>124.56457767934201</v>
      </c>
      <c r="H25" s="154"/>
      <c r="I25" s="1330">
        <f>INDEX('Capital Costs'!$B$9:$O$48,MATCH('Capital Costs Summary'!$C25,'Capital Costs'!$B$9:$B$48,0),MATCH('Capital Costs Summary'!I$3,'Capital Costs'!$B$2:$O$2,0))</f>
        <v>54613000</v>
      </c>
      <c r="J25" s="1331">
        <f>INDEX('Capital Costs'!$B$9:$O$48,MATCH('Capital Costs Summary'!$C25,'Capital Costs'!$B$9:$B$48,0),MATCH('Capital Costs Summary'!J$3,'Capital Costs'!$B$2:$O$2,0))</f>
        <v>63577000</v>
      </c>
      <c r="K25" s="1330">
        <f>I25/(INDEX('Unit Specifications'!$C$14:$E$14,1,MATCH('Capital Costs Summary'!K$3,'Unit Specifications'!$C$8:$E$8,0))*1000)</f>
        <v>74.853344298245617</v>
      </c>
      <c r="L25" s="1330">
        <f>J25/(INDEX('Unit Specifications'!$C$14:$E$14,1,MATCH('Capital Costs Summary'!L$3,'Unit Specifications'!$C$8:$E$8,0))*1000)</f>
        <v>87.139528508771932</v>
      </c>
      <c r="M25" s="154"/>
      <c r="N25" s="1330">
        <f>INDEX('Capital Costs'!$B$9:$O$48,MATCH('Capital Costs Summary'!$C25,'Capital Costs'!$B$9:$B$48,0),MATCH('Capital Costs Summary'!N$3,'Capital Costs'!$B$2:$O$2,0))</f>
        <v>11443000</v>
      </c>
      <c r="O25" s="1331">
        <f>INDEX('Capital Costs'!$B$9:$O$48,MATCH('Capital Costs Summary'!$C25,'Capital Costs'!$B$9:$B$48,0),MATCH('Capital Costs Summary'!O$3,'Capital Costs'!$B$2:$O$2,0))</f>
        <v>13103000</v>
      </c>
      <c r="P25" s="1330">
        <f>N25/(INDEX('Unit Specifications'!$C$14:$E$14,1,MATCH('Capital Costs Summary'!P$3,'Unit Specifications'!$C$8:$E$8,0))*1000)</f>
        <v>190.90757424090756</v>
      </c>
      <c r="Q25" s="1330">
        <f>O25/(INDEX('Unit Specifications'!$C$14:$E$14,1,MATCH('Capital Costs Summary'!Q$3,'Unit Specifications'!$C$8:$E$8,0))*1000)</f>
        <v>218.60193526860192</v>
      </c>
      <c r="R25" s="154"/>
      <c r="S25" s="1330">
        <f>INDEX('Capital Costs'!$B$9:$O$48,MATCH('Capital Costs Summary'!$C25,'Capital Costs'!$B$9:$B$48,0),MATCH('Capital Costs Summary'!S$3,'Capital Costs'!$B$2:$O$2,0))</f>
        <v>1518000</v>
      </c>
      <c r="T25" s="1330"/>
      <c r="U25" s="1330">
        <f>S25/(INDEX('Cost Assumptions'!$D$12:$G$12,1,MATCH('Capital Costs Summary'!U$3,'Cost Assumptions'!$D$8:$G$8,0))*1000)</f>
        <v>253</v>
      </c>
      <c r="V25" s="1333"/>
    </row>
    <row r="26" spans="3:22" s="1337" customFormat="1">
      <c r="C26" s="153" t="s">
        <v>339</v>
      </c>
      <c r="D26" s="1334">
        <f>INDEX('Capital Costs'!$B$9:$O$48,MATCH('Capital Costs Summary'!$C26,'Capital Costs'!$B$9:$B$48,0),MATCH('Capital Costs Summary'!D$3,'Capital Costs'!$B$2:$O$2,0))</f>
        <v>227750000</v>
      </c>
      <c r="E26" s="1334">
        <f>D26/(INDEX('Unit Specifications'!$C$14:$E$14,1,MATCH('Capital Costs Summary'!E$3,'Unit Specifications'!$C$8:$E$8,0))*1000)</f>
        <v>1184.0887585654718</v>
      </c>
      <c r="F26" s="1334">
        <f>INDEX('Capital Costs'!$B$9:$O$48,MATCH('Capital Costs Summary'!$C26,'Capital Costs'!$B$9:$B$48,0),MATCH('Capital Costs Summary'!F$3,'Capital Costs'!$B$2:$O$2,0))</f>
        <v>263550000</v>
      </c>
      <c r="G26" s="1334">
        <f>F26/(INDEX('Unit Specifications'!$C$14:$E$14,1,MATCH('Capital Costs Summary'!G$3,'Unit Specifications'!$C$8:$E$8,0))*1000)</f>
        <v>1370.2155535452475</v>
      </c>
      <c r="H26" s="1335"/>
      <c r="I26" s="1334">
        <f>INDEX('Capital Costs'!$B$9:$O$48,MATCH('Capital Costs Summary'!$C26,'Capital Costs'!$B$9:$B$48,0),MATCH('Capital Costs Summary'!I$3,'Capital Costs'!$B$2:$O$2,0))</f>
        <v>600740000</v>
      </c>
      <c r="J26" s="1336">
        <f>INDEX('Capital Costs'!$B$9:$O$48,MATCH('Capital Costs Summary'!$C26,'Capital Costs'!$B$9:$B$48,0),MATCH('Capital Costs Summary'!J$3,'Capital Costs'!$B$2:$O$2,0))</f>
        <v>699349000</v>
      </c>
      <c r="K26" s="1334">
        <f>I26/(INDEX('Unit Specifications'!$C$14:$E$14,1,MATCH('Capital Costs Summary'!K$3,'Unit Specifications'!$C$8:$E$8,0))*1000)</f>
        <v>823.38267543859649</v>
      </c>
      <c r="L26" s="1334">
        <f>J26/(INDEX('Unit Specifications'!$C$14:$E$14,1,MATCH('Capital Costs Summary'!L$3,'Unit Specifications'!$C$8:$E$8,0))*1000)</f>
        <v>958.53755482456143</v>
      </c>
      <c r="M26" s="1335"/>
      <c r="N26" s="1334">
        <f>INDEX('Capital Costs'!$B$9:$O$48,MATCH('Capital Costs Summary'!$C26,'Capital Costs'!$B$9:$B$48,0),MATCH('Capital Costs Summary'!N$3,'Capital Costs'!$B$2:$O$2,0))</f>
        <v>125871000</v>
      </c>
      <c r="O26" s="1336">
        <f>INDEX('Capital Costs'!$B$9:$O$48,MATCH('Capital Costs Summary'!$C26,'Capital Costs'!$B$9:$B$48,0),MATCH('Capital Costs Summary'!O$3,'Capital Costs'!$B$2:$O$2,0))</f>
        <v>144135000</v>
      </c>
      <c r="P26" s="1334">
        <f>N26/(INDEX('Unit Specifications'!$C$14:$E$14,1,MATCH('Capital Costs Summary'!P$3,'Unit Specifications'!$C$8:$E$8,0))*1000)</f>
        <v>2099.9499499499498</v>
      </c>
      <c r="Q26" s="1334">
        <f>O26/(INDEX('Unit Specifications'!$C$14:$E$14,1,MATCH('Capital Costs Summary'!Q$3,'Unit Specifications'!$C$8:$E$8,0))*1000)</f>
        <v>2404.6546546546542</v>
      </c>
      <c r="R26" s="1335"/>
      <c r="S26" s="1334">
        <f>INDEX('Capital Costs'!$B$9:$O$48,MATCH('Capital Costs Summary'!$C26,'Capital Costs'!$B$9:$B$48,0),MATCH('Capital Costs Summary'!S$3,'Capital Costs'!$B$2:$O$2,0))</f>
        <v>16698000</v>
      </c>
      <c r="T26" s="1330"/>
      <c r="U26" s="1334">
        <f>S26/(INDEX('Cost Assumptions'!$D$12:$G$12,1,MATCH('Capital Costs Summary'!U$3,'Cost Assumptions'!$D$8:$G$8,0))*1000)</f>
        <v>2783</v>
      </c>
      <c r="V26" s="1333"/>
    </row>
    <row r="27" spans="3:22" ht="6" customHeight="1">
      <c r="C27" s="162"/>
      <c r="D27" s="245"/>
      <c r="E27" s="1338"/>
      <c r="F27" s="245"/>
      <c r="G27" s="1338"/>
      <c r="H27" s="245"/>
      <c r="I27" s="245"/>
      <c r="J27" s="245"/>
      <c r="K27" s="1338"/>
      <c r="L27" s="1338"/>
      <c r="M27" s="245"/>
      <c r="N27" s="245"/>
      <c r="O27" s="245"/>
      <c r="P27" s="1338"/>
      <c r="Q27" s="1338"/>
      <c r="R27" s="245"/>
      <c r="S27" s="245"/>
      <c r="T27" s="1339"/>
      <c r="U27" s="1338"/>
      <c r="V27" s="1340"/>
    </row>
    <row r="28" spans="3:22" ht="6" customHeight="1">
      <c r="C28" s="147"/>
      <c r="D28" s="246"/>
      <c r="E28" s="1341"/>
      <c r="F28" s="246"/>
      <c r="G28" s="1341"/>
      <c r="H28" s="246"/>
      <c r="I28" s="246"/>
      <c r="J28" s="246"/>
      <c r="K28" s="1341"/>
      <c r="L28" s="1341"/>
      <c r="M28" s="246"/>
      <c r="N28" s="246"/>
      <c r="O28" s="246"/>
      <c r="P28" s="1341"/>
      <c r="Q28" s="1341"/>
      <c r="R28" s="246"/>
      <c r="S28" s="246"/>
      <c r="T28" s="1342"/>
      <c r="U28" s="1341"/>
      <c r="V28" s="1343"/>
    </row>
    <row r="29" spans="3:22">
      <c r="C29" s="153" t="s">
        <v>122</v>
      </c>
      <c r="D29" s="247"/>
      <c r="E29" s="1344"/>
      <c r="F29" s="247"/>
      <c r="G29" s="1344"/>
      <c r="H29" s="247"/>
      <c r="I29" s="247"/>
      <c r="J29" s="247"/>
      <c r="K29" s="1344"/>
      <c r="L29" s="1344"/>
      <c r="M29" s="247"/>
      <c r="N29" s="247"/>
      <c r="O29" s="247"/>
      <c r="P29" s="1344"/>
      <c r="Q29" s="1344"/>
      <c r="R29" s="247"/>
      <c r="S29" s="247"/>
      <c r="T29" s="1345"/>
      <c r="U29" s="1344"/>
      <c r="V29" s="1346"/>
    </row>
    <row r="30" spans="3:22">
      <c r="C30" s="161" t="s">
        <v>120</v>
      </c>
      <c r="D30" s="1330">
        <f>INDEX('Capital Costs'!$B$9:$O$48,MATCH('Capital Costs Summary'!$C30,'Capital Costs'!$B$9:$B$48,0),MATCH('Capital Costs Summary'!D$3,'Capital Costs'!$B$2:$O$2,0))</f>
        <v>15943000</v>
      </c>
      <c r="E30" s="1330">
        <f>D30/(INDEX('Unit Specifications'!$C$14:$E$14,1,MATCH('Capital Costs Summary'!E$3,'Unit Specifications'!$C$8:$E$8,0))*1000)</f>
        <v>82.888812635825772</v>
      </c>
      <c r="F30" s="1330">
        <f>INDEX('Capital Costs'!$B$9:$O$48,MATCH('Capital Costs Summary'!$C30,'Capital Costs'!$B$9:$B$48,0),MATCH('Capital Costs Summary'!F$3,'Capital Costs'!$B$2:$O$2,0))</f>
        <v>18449000</v>
      </c>
      <c r="G30" s="1330">
        <f>F30/(INDEX('Unit Specifications'!$C$14:$E$14,1,MATCH('Capital Costs Summary'!G$3,'Unit Specifications'!$C$8:$E$8,0))*1000)</f>
        <v>95.917688284410062</v>
      </c>
      <c r="H30" s="154"/>
      <c r="I30" s="1330">
        <f>INDEX('Capital Costs'!$B$9:$O$48,MATCH('Capital Costs Summary'!$C30,'Capital Costs'!$B$9:$B$48,0),MATCH('Capital Costs Summary'!I$3,'Capital Costs'!$B$2:$O$2,0))</f>
        <v>42052000</v>
      </c>
      <c r="J30" s="1331">
        <f>INDEX('Capital Costs'!$B$9:$O$48,MATCH('Capital Costs Summary'!$C30,'Capital Costs'!$B$9:$B$48,0),MATCH('Capital Costs Summary'!J$3,'Capital Costs'!$B$2:$O$2,0))</f>
        <v>48954000</v>
      </c>
      <c r="K30" s="1330">
        <f>I30/(INDEX('Unit Specifications'!$C$14:$E$14,1,MATCH('Capital Costs Summary'!K$3,'Unit Specifications'!$C$8:$E$8,0))*1000)</f>
        <v>57.637061403508774</v>
      </c>
      <c r="L30" s="1330">
        <f>J30/(INDEX('Unit Specifications'!$C$14:$E$14,1,MATCH('Capital Costs Summary'!L$3,'Unit Specifications'!$C$8:$E$8,0))*1000)</f>
        <v>67.097039473684205</v>
      </c>
      <c r="M30" s="154"/>
      <c r="N30" s="1330">
        <f>INDEX('Capital Costs'!$B$9:$O$48,MATCH('Capital Costs Summary'!$C30,'Capital Costs'!$B$9:$B$48,0),MATCH('Capital Costs Summary'!N$3,'Capital Costs'!$B$2:$O$2,0))</f>
        <v>8811000</v>
      </c>
      <c r="O30" s="1331">
        <f>INDEX('Capital Costs'!$B$9:$O$48,MATCH('Capital Costs Summary'!$C30,'Capital Costs'!$B$9:$B$48,0),MATCH('Capital Costs Summary'!O$3,'Capital Costs'!$B$2:$O$2,0))</f>
        <v>10089000</v>
      </c>
      <c r="P30" s="1330">
        <f>N30/(INDEX('Unit Specifications'!$C$14:$E$14,1,MATCH('Capital Costs Summary'!P$3,'Unit Specifications'!$C$8:$E$8,0))*1000)</f>
        <v>146.99699699699698</v>
      </c>
      <c r="Q30" s="1330">
        <f>O30/(INDEX('Unit Specifications'!$C$14:$E$14,1,MATCH('Capital Costs Summary'!Q$3,'Unit Specifications'!$C$8:$E$8,0))*1000)</f>
        <v>168.31831831831829</v>
      </c>
      <c r="R30" s="154"/>
      <c r="S30" s="1330">
        <f>INDEX('Capital Costs'!$B$9:$O$48,MATCH('Capital Costs Summary'!$C30,'Capital Costs'!$B$9:$B$48,0),MATCH('Capital Costs Summary'!S$3,'Capital Costs'!$B$2:$O$2,0))</f>
        <v>1169000</v>
      </c>
      <c r="T30" s="1330"/>
      <c r="U30" s="1330">
        <f>S30/(INDEX('Cost Assumptions'!$D$12:$G$12,1,MATCH('Capital Costs Summary'!U$3,'Cost Assumptions'!$D$8:$G$8,0))*1000)</f>
        <v>194.83333333333334</v>
      </c>
      <c r="V30" s="1333"/>
    </row>
    <row r="31" spans="3:22">
      <c r="C31" s="161" t="s">
        <v>131</v>
      </c>
      <c r="D31" s="1330">
        <f>INDEX('Capital Costs'!$B$9:$O$48,MATCH('Capital Costs Summary'!$C31,'Capital Costs'!$B$9:$B$48,0),MATCH('Capital Costs Summary'!D$3,'Capital Costs'!$B$2:$O$2,0))</f>
        <v>4000000</v>
      </c>
      <c r="E31" s="1330">
        <f>D31/(INDEX('Unit Specifications'!$C$14:$E$14,1,MATCH('Capital Costs Summary'!E$3,'Unit Specifications'!$C$8:$E$8,0))*1000)</f>
        <v>20.79628994187437</v>
      </c>
      <c r="F31" s="1330">
        <f>INDEX('Capital Costs'!$B$9:$O$48,MATCH('Capital Costs Summary'!$C31,'Capital Costs'!$B$9:$B$48,0),MATCH('Capital Costs Summary'!F$3,'Capital Costs'!$B$2:$O$2,0))</f>
        <v>4559000</v>
      </c>
      <c r="G31" s="1330">
        <f>F31/(INDEX('Unit Specifications'!$C$14:$E$14,1,MATCH('Capital Costs Summary'!G$3,'Unit Specifications'!$C$8:$E$8,0))*1000)</f>
        <v>23.702571461251313</v>
      </c>
      <c r="H31" s="154"/>
      <c r="I31" s="1330">
        <f>INDEX('Capital Costs'!$B$9:$O$48,MATCH('Capital Costs Summary'!$C31,'Capital Costs'!$B$9:$B$48,0),MATCH('Capital Costs Summary'!I$3,'Capital Costs'!$B$2:$O$2,0))</f>
        <v>16000000</v>
      </c>
      <c r="J31" s="1331">
        <f>INDEX('Capital Costs'!$B$9:$O$48,MATCH('Capital Costs Summary'!$C31,'Capital Costs'!$B$9:$B$48,0),MATCH('Capital Costs Summary'!J$3,'Capital Costs'!$B$2:$O$2,0))</f>
        <v>18235000</v>
      </c>
      <c r="K31" s="1330">
        <f>I31/(INDEX('Unit Specifications'!$C$14:$E$14,1,MATCH('Capital Costs Summary'!K$3,'Unit Specifications'!$C$8:$E$8,0))*1000)</f>
        <v>21.92982456140351</v>
      </c>
      <c r="L31" s="1330">
        <f>J31/(INDEX('Unit Specifications'!$C$14:$E$14,1,MATCH('Capital Costs Summary'!L$3,'Unit Specifications'!$C$8:$E$8,0))*1000)</f>
        <v>24.993146929824562</v>
      </c>
      <c r="M31" s="154"/>
      <c r="N31" s="1330">
        <f>INDEX('Capital Costs'!$B$9:$O$48,MATCH('Capital Costs Summary'!$C31,'Capital Costs'!$B$9:$B$48,0),MATCH('Capital Costs Summary'!N$3,'Capital Costs'!$B$2:$O$2,0))</f>
        <v>19000000</v>
      </c>
      <c r="O31" s="1331">
        <f>INDEX('Capital Costs'!$B$9:$O$48,MATCH('Capital Costs Summary'!$C31,'Capital Costs'!$B$9:$B$48,0),MATCH('Capital Costs Summary'!O$3,'Capital Costs'!$B$2:$O$2,0))</f>
        <v>21655000</v>
      </c>
      <c r="P31" s="1330">
        <f>N31/(INDEX('Unit Specifications'!$C$14:$E$14,1,MATCH('Capital Costs Summary'!P$3,'Unit Specifications'!$C$8:$E$8,0))*1000)</f>
        <v>316.98365031698359</v>
      </c>
      <c r="Q31" s="1330">
        <f>O31/(INDEX('Unit Specifications'!$C$14:$E$14,1,MATCH('Capital Costs Summary'!Q$3,'Unit Specifications'!$C$8:$E$8,0))*1000)</f>
        <v>361.27794461127792</v>
      </c>
      <c r="R31" s="154"/>
      <c r="S31" s="1330">
        <f>INDEX('Capital Costs'!$B$9:$O$48,MATCH('Capital Costs Summary'!$C31,'Capital Costs'!$B$9:$B$48,0),MATCH('Capital Costs Summary'!S$3,'Capital Costs'!$B$2:$O$2,0))</f>
        <v>300000</v>
      </c>
      <c r="T31" s="1330"/>
      <c r="U31" s="1330">
        <f>S31/(INDEX('Cost Assumptions'!$D$12:$G$12,1,MATCH('Capital Costs Summary'!U$3,'Cost Assumptions'!$D$8:$G$8,0))*1000)</f>
        <v>50</v>
      </c>
      <c r="V31" s="1333"/>
    </row>
    <row r="32" spans="3:22" hidden="1">
      <c r="C32" s="161" t="s">
        <v>79</v>
      </c>
      <c r="D32" s="1330">
        <f>INDEX('Capital Costs'!$B$9:$O$48,MATCH('Capital Costs Summary'!$C32,'Capital Costs'!$B$9:$B$48,0),MATCH('Capital Costs Summary'!D$3,'Capital Costs'!$B$2:$O$2,0))</f>
        <v>3600000</v>
      </c>
      <c r="E32" s="1330">
        <f>D32/(INDEX('Unit Specifications'!$C$14:$E$14,1,MATCH('Capital Costs Summary'!E$3,'Unit Specifications'!$C$8:$E$8,0))*1000)</f>
        <v>18.716660947686933</v>
      </c>
      <c r="F32" s="1330">
        <f>INDEX('Capital Costs'!$B$9:$O$48,MATCH('Capital Costs Summary'!$C32,'Capital Costs'!$B$9:$B$48,0),MATCH('Capital Costs Summary'!F$3,'Capital Costs'!$B$2:$O$2,0))</f>
        <v>4103000</v>
      </c>
      <c r="G32" s="1330">
        <f>F32/(INDEX('Unit Specifications'!$C$14:$E$14,1,MATCH('Capital Costs Summary'!G$3,'Unit Specifications'!$C$8:$E$8,0))*1000)</f>
        <v>21.331794407877634</v>
      </c>
      <c r="H32" s="154"/>
      <c r="I32" s="1330">
        <f>INDEX('Capital Costs'!$B$9:$O$48,MATCH('Capital Costs Summary'!$C32,'Capital Costs'!$B$9:$B$48,0),MATCH('Capital Costs Summary'!I$3,'Capital Costs'!$B$2:$O$2,0))</f>
        <v>3600000</v>
      </c>
      <c r="J32" s="1331">
        <f>INDEX('Capital Costs'!$B$9:$O$48,MATCH('Capital Costs Summary'!$C32,'Capital Costs'!$B$9:$B$48,0),MATCH('Capital Costs Summary'!J$3,'Capital Costs'!$B$2:$O$2,0))</f>
        <v>4103000</v>
      </c>
      <c r="K32" s="1330">
        <f>I32/(INDEX('Unit Specifications'!$C$14:$E$14,1,MATCH('Capital Costs Summary'!K$3,'Unit Specifications'!$C$8:$E$8,0))*1000)</f>
        <v>4.9342105263157894</v>
      </c>
      <c r="L32" s="1330">
        <f>J32/(INDEX('Unit Specifications'!$C$14:$E$14,1,MATCH('Capital Costs Summary'!L$3,'Unit Specifications'!$C$8:$E$8,0))*1000)</f>
        <v>5.6236293859649127</v>
      </c>
      <c r="M32" s="154"/>
      <c r="N32" s="1330">
        <f>INDEX('Capital Costs'!$B$9:$O$48,MATCH('Capital Costs Summary'!$C32,'Capital Costs'!$B$9:$B$48,0),MATCH('Capital Costs Summary'!N$3,'Capital Costs'!$B$2:$O$2,0))</f>
        <v>0</v>
      </c>
      <c r="O32" s="1331">
        <f>INDEX('Capital Costs'!$B$9:$O$48,MATCH('Capital Costs Summary'!$C32,'Capital Costs'!$B$9:$B$48,0),MATCH('Capital Costs Summary'!O$3,'Capital Costs'!$B$2:$O$2,0))</f>
        <v>0</v>
      </c>
      <c r="P32" s="1330">
        <f>N32/(INDEX('Unit Specifications'!$C$14:$E$14,1,MATCH('Capital Costs Summary'!P$3,'Unit Specifications'!$C$8:$E$8,0))*1000)</f>
        <v>0</v>
      </c>
      <c r="Q32" s="1330">
        <f>O32/(INDEX('Unit Specifications'!$C$14:$E$14,1,MATCH('Capital Costs Summary'!Q$3,'Unit Specifications'!$C$8:$E$8,0))*1000)</f>
        <v>0</v>
      </c>
      <c r="R32" s="154"/>
      <c r="S32" s="1330">
        <f>INDEX('Capital Costs'!$B$9:$O$48,MATCH('Capital Costs Summary'!$C32,'Capital Costs'!$B$9:$B$48,0),MATCH('Capital Costs Summary'!S$3,'Capital Costs'!$B$2:$O$2,0))</f>
        <v>0</v>
      </c>
      <c r="T32" s="1330"/>
      <c r="U32" s="1330">
        <f>S32/(INDEX('Cost Assumptions'!$D$12:$G$12,1,MATCH('Capital Costs Summary'!U$3,'Cost Assumptions'!$D$8:$G$8,0))*1000)</f>
        <v>0</v>
      </c>
      <c r="V32" s="1333"/>
    </row>
    <row r="33" spans="3:22" hidden="1" outlineLevel="1">
      <c r="C33" s="167" t="s">
        <v>133</v>
      </c>
      <c r="D33" s="1330">
        <f>INDEX('Capital Costs'!$B$9:$O$48,MATCH('Capital Costs Summary'!$C33,'Capital Costs'!$B$9:$B$48,0),MATCH('Capital Costs Summary'!D$3,'Capital Costs'!$B$2:$O$2,0))</f>
        <v>0</v>
      </c>
      <c r="E33" s="1330">
        <f>D33/(INDEX('Unit Specifications'!$C$14:$E$14,1,MATCH('Capital Costs Summary'!E$3,'Unit Specifications'!$C$8:$E$8,0))*1000)</f>
        <v>0</v>
      </c>
      <c r="F33" s="1330">
        <f>INDEX('Capital Costs'!$B$9:$O$48,MATCH('Capital Costs Summary'!$C33,'Capital Costs'!$B$9:$B$48,0),MATCH('Capital Costs Summary'!F$3,'Capital Costs'!$B$2:$O$2,0))</f>
        <v>0</v>
      </c>
      <c r="G33" s="1330">
        <f>F33/(INDEX('Unit Specifications'!$C$14:$E$14,1,MATCH('Capital Costs Summary'!G$3,'Unit Specifications'!$C$8:$E$8,0))*1000)</f>
        <v>0</v>
      </c>
      <c r="H33" s="154"/>
      <c r="I33" s="1330">
        <f>INDEX('Capital Costs'!$B$9:$O$48,MATCH('Capital Costs Summary'!$C33,'Capital Costs'!$B$9:$B$48,0),MATCH('Capital Costs Summary'!I$3,'Capital Costs'!$B$2:$O$2,0))</f>
        <v>0</v>
      </c>
      <c r="J33" s="1331">
        <f>INDEX('Capital Costs'!$B$9:$O$48,MATCH('Capital Costs Summary'!$C33,'Capital Costs'!$B$9:$B$48,0),MATCH('Capital Costs Summary'!J$3,'Capital Costs'!$B$2:$O$2,0))</f>
        <v>0</v>
      </c>
      <c r="K33" s="1330">
        <f>I33/(INDEX('Unit Specifications'!$C$14:$E$14,1,MATCH('Capital Costs Summary'!K$3,'Unit Specifications'!$C$8:$E$8,0))*1000)</f>
        <v>0</v>
      </c>
      <c r="L33" s="1330">
        <f>J33/(INDEX('Unit Specifications'!$C$14:$E$14,1,MATCH('Capital Costs Summary'!L$3,'Unit Specifications'!$C$8:$E$8,0))*1000)</f>
        <v>0</v>
      </c>
      <c r="M33" s="154"/>
      <c r="N33" s="1330">
        <f>INDEX('Capital Costs'!$B$9:$O$48,MATCH('Capital Costs Summary'!$C33,'Capital Costs'!$B$9:$B$48,0),MATCH('Capital Costs Summary'!N$3,'Capital Costs'!$B$2:$O$2,0))</f>
        <v>0</v>
      </c>
      <c r="O33" s="1331">
        <f>INDEX('Capital Costs'!$B$9:$O$48,MATCH('Capital Costs Summary'!$C33,'Capital Costs'!$B$9:$B$48,0),MATCH('Capital Costs Summary'!O$3,'Capital Costs'!$B$2:$O$2,0))</f>
        <v>0</v>
      </c>
      <c r="P33" s="1330">
        <f>N33/(INDEX('Unit Specifications'!$C$14:$E$14,1,MATCH('Capital Costs Summary'!P$3,'Unit Specifications'!$C$8:$E$8,0))*1000)</f>
        <v>0</v>
      </c>
      <c r="Q33" s="1330">
        <f>O33/(INDEX('Unit Specifications'!$C$14:$E$14,1,MATCH('Capital Costs Summary'!Q$3,'Unit Specifications'!$C$8:$E$8,0))*1000)</f>
        <v>0</v>
      </c>
      <c r="R33" s="154"/>
      <c r="S33" s="1330">
        <f>INDEX('Capital Costs'!$B$9:$O$48,MATCH('Capital Costs Summary'!$C33,'Capital Costs'!$B$9:$B$48,0),MATCH('Capital Costs Summary'!S$3,'Capital Costs'!$B$2:$O$2,0))</f>
        <v>0</v>
      </c>
      <c r="T33" s="1330"/>
      <c r="U33" s="1330">
        <f>S33/(INDEX('Cost Assumptions'!$D$12:$G$12,1,MATCH('Capital Costs Summary'!U$3,'Cost Assumptions'!$D$8:$G$8,0))*1000)</f>
        <v>0</v>
      </c>
      <c r="V33" s="1333"/>
    </row>
    <row r="34" spans="3:22" hidden="1" outlineLevel="1">
      <c r="C34" s="167" t="s">
        <v>135</v>
      </c>
      <c r="D34" s="1330">
        <f>INDEX('Capital Costs'!$B$9:$O$48,MATCH('Capital Costs Summary'!$C34,'Capital Costs'!$B$9:$B$48,0),MATCH('Capital Costs Summary'!D$3,'Capital Costs'!$B$2:$O$2,0))</f>
        <v>0</v>
      </c>
      <c r="E34" s="1330">
        <f>D34/(INDEX('Unit Specifications'!$C$14:$E$14,1,MATCH('Capital Costs Summary'!E$3,'Unit Specifications'!$C$8:$E$8,0))*1000)</f>
        <v>0</v>
      </c>
      <c r="F34" s="1330">
        <f>INDEX('Capital Costs'!$B$9:$O$48,MATCH('Capital Costs Summary'!$C34,'Capital Costs'!$B$9:$B$48,0),MATCH('Capital Costs Summary'!F$3,'Capital Costs'!$B$2:$O$2,0))</f>
        <v>0</v>
      </c>
      <c r="G34" s="1330">
        <f>F34/(INDEX('Unit Specifications'!$C$14:$E$14,1,MATCH('Capital Costs Summary'!G$3,'Unit Specifications'!$C$8:$E$8,0))*1000)</f>
        <v>0</v>
      </c>
      <c r="H34" s="154"/>
      <c r="I34" s="1330">
        <f>INDEX('Capital Costs'!$B$9:$O$48,MATCH('Capital Costs Summary'!$C34,'Capital Costs'!$B$9:$B$48,0),MATCH('Capital Costs Summary'!I$3,'Capital Costs'!$B$2:$O$2,0))</f>
        <v>0</v>
      </c>
      <c r="J34" s="1331">
        <f>INDEX('Capital Costs'!$B$9:$O$48,MATCH('Capital Costs Summary'!$C34,'Capital Costs'!$B$9:$B$48,0),MATCH('Capital Costs Summary'!J$3,'Capital Costs'!$B$2:$O$2,0))</f>
        <v>0</v>
      </c>
      <c r="K34" s="1330">
        <f>I34/(INDEX('Unit Specifications'!$C$14:$E$14,1,MATCH('Capital Costs Summary'!K$3,'Unit Specifications'!$C$8:$E$8,0))*1000)</f>
        <v>0</v>
      </c>
      <c r="L34" s="1330">
        <f>J34/(INDEX('Unit Specifications'!$C$14:$E$14,1,MATCH('Capital Costs Summary'!L$3,'Unit Specifications'!$C$8:$E$8,0))*1000)</f>
        <v>0</v>
      </c>
      <c r="M34" s="154"/>
      <c r="N34" s="1330">
        <f>INDEX('Capital Costs'!$B$9:$O$48,MATCH('Capital Costs Summary'!$C34,'Capital Costs'!$B$9:$B$48,0),MATCH('Capital Costs Summary'!N$3,'Capital Costs'!$B$2:$O$2,0))</f>
        <v>0</v>
      </c>
      <c r="O34" s="1331">
        <f>INDEX('Capital Costs'!$B$9:$O$48,MATCH('Capital Costs Summary'!$C34,'Capital Costs'!$B$9:$B$48,0),MATCH('Capital Costs Summary'!O$3,'Capital Costs'!$B$2:$O$2,0))</f>
        <v>0</v>
      </c>
      <c r="P34" s="1330">
        <f>N34/(INDEX('Unit Specifications'!$C$14:$E$14,1,MATCH('Capital Costs Summary'!P$3,'Unit Specifications'!$C$8:$E$8,0))*1000)</f>
        <v>0</v>
      </c>
      <c r="Q34" s="1330">
        <f>O34/(INDEX('Unit Specifications'!$C$14:$E$14,1,MATCH('Capital Costs Summary'!Q$3,'Unit Specifications'!$C$8:$E$8,0))*1000)</f>
        <v>0</v>
      </c>
      <c r="R34" s="154"/>
      <c r="S34" s="1330">
        <f>INDEX('Capital Costs'!$B$9:$O$48,MATCH('Capital Costs Summary'!$C34,'Capital Costs'!$B$9:$B$48,0),MATCH('Capital Costs Summary'!S$3,'Capital Costs'!$B$2:$O$2,0))</f>
        <v>0</v>
      </c>
      <c r="T34" s="1330"/>
      <c r="U34" s="1330">
        <f>S34/(INDEX('Cost Assumptions'!$D$12:$G$12,1,MATCH('Capital Costs Summary'!U$3,'Cost Assumptions'!$D$8:$G$8,0))*1000)</f>
        <v>0</v>
      </c>
      <c r="V34" s="1333"/>
    </row>
    <row r="35" spans="3:22" hidden="1" collapsed="1">
      <c r="C35" s="167" t="s">
        <v>850</v>
      </c>
      <c r="D35" s="1330">
        <f>INDEX('Capital Costs'!$B$9:$O$48,MATCH('Capital Costs Summary'!$C35,'Capital Costs'!$B$9:$B$48,0),MATCH('Capital Costs Summary'!D$3,'Capital Costs'!$B$2:$O$2,0))</f>
        <v>2529000</v>
      </c>
      <c r="E35" s="1330">
        <f>D35/(INDEX('Unit Specifications'!$C$14:$E$14,1,MATCH('Capital Costs Summary'!E$3,'Unit Specifications'!$C$8:$E$8,0))*1000)</f>
        <v>13.148454315750071</v>
      </c>
      <c r="F35" s="1330">
        <f>INDEX('Capital Costs'!$B$9:$O$48,MATCH('Capital Costs Summary'!$C35,'Capital Costs'!$B$9:$B$48,0),MATCH('Capital Costs Summary'!F$3,'Capital Costs'!$B$2:$O$2,0))</f>
        <v>2684000</v>
      </c>
      <c r="G35" s="1330">
        <f>F35/(INDEX('Unit Specifications'!$C$14:$E$14,1,MATCH('Capital Costs Summary'!G$3,'Unit Specifications'!$C$8:$E$8,0))*1000)</f>
        <v>13.954310550997702</v>
      </c>
      <c r="H35" s="154"/>
      <c r="I35" s="1330">
        <f>INDEX('Capital Costs'!$B$9:$O$48,MATCH('Capital Costs Summary'!$C35,'Capital Costs'!$B$9:$B$48,0),MATCH('Capital Costs Summary'!I$3,'Capital Costs'!$B$2:$O$2,0))</f>
        <v>7499000</v>
      </c>
      <c r="J35" s="1331">
        <f>INDEX('Capital Costs'!$B$9:$O$48,MATCH('Capital Costs Summary'!$C35,'Capital Costs'!$B$9:$B$48,0),MATCH('Capital Costs Summary'!J$3,'Capital Costs'!$B$2:$O$2,0))</f>
        <v>7960000</v>
      </c>
      <c r="K35" s="1330">
        <f>I35/(INDEX('Unit Specifications'!$C$14:$E$14,1,MATCH('Capital Costs Summary'!K$3,'Unit Specifications'!$C$8:$E$8,0))*1000)</f>
        <v>10.278234649122806</v>
      </c>
      <c r="L35" s="1330">
        <f>J35/(INDEX('Unit Specifications'!$C$14:$E$14,1,MATCH('Capital Costs Summary'!L$3,'Unit Specifications'!$C$8:$E$8,0))*1000)</f>
        <v>10.910087719298245</v>
      </c>
      <c r="M35" s="154"/>
      <c r="N35" s="1330">
        <f>INDEX('Capital Costs'!$B$9:$O$48,MATCH('Capital Costs Summary'!$C35,'Capital Costs'!$B$9:$B$48,0),MATCH('Capital Costs Summary'!N$3,'Capital Costs'!$B$2:$O$2,0))</f>
        <v>0</v>
      </c>
      <c r="O35" s="1331">
        <f>INDEX('Capital Costs'!$B$9:$O$48,MATCH('Capital Costs Summary'!$C35,'Capital Costs'!$B$9:$B$48,0),MATCH('Capital Costs Summary'!O$3,'Capital Costs'!$B$2:$O$2,0))</f>
        <v>0</v>
      </c>
      <c r="P35" s="1330">
        <f>N35/(INDEX('Unit Specifications'!$C$14:$E$14,1,MATCH('Capital Costs Summary'!P$3,'Unit Specifications'!$C$8:$E$8,0))*1000)</f>
        <v>0</v>
      </c>
      <c r="Q35" s="1330">
        <f>O35/(INDEX('Unit Specifications'!$C$14:$E$14,1,MATCH('Capital Costs Summary'!Q$3,'Unit Specifications'!$C$8:$E$8,0))*1000)</f>
        <v>0</v>
      </c>
      <c r="R35" s="154"/>
      <c r="S35" s="1330">
        <f>INDEX('Capital Costs'!$B$9:$O$48,MATCH('Capital Costs Summary'!$C35,'Capital Costs'!$B$9:$B$48,0),MATCH('Capital Costs Summary'!S$3,'Capital Costs'!$B$2:$O$2,0))</f>
        <v>0</v>
      </c>
      <c r="T35" s="1330"/>
      <c r="U35" s="1330">
        <f>S35/(INDEX('Cost Assumptions'!$D$12:$G$12,1,MATCH('Capital Costs Summary'!U$3,'Cost Assumptions'!$D$8:$G$8,0))*1000)</f>
        <v>0</v>
      </c>
      <c r="V35" s="1333"/>
    </row>
    <row r="36" spans="3:22">
      <c r="C36" s="161" t="s">
        <v>265</v>
      </c>
      <c r="D36" s="1330">
        <f>INDEX('Capital Costs'!$B$9:$O$48,MATCH('Capital Costs Summary'!$C36,'Capital Costs'!$B$9:$B$48,0),MATCH('Capital Costs Summary'!D$3,'Capital Costs'!$B$2:$O$2,0))</f>
        <v>2278000</v>
      </c>
      <c r="E36" s="1330">
        <f>D36/(INDEX('Unit Specifications'!$C$14:$E$14,1,MATCH('Capital Costs Summary'!E$3,'Unit Specifications'!$C$8:$E$8,0))*1000)</f>
        <v>11.843487121897454</v>
      </c>
      <c r="F36" s="1330">
        <f>INDEX('Capital Costs'!$B$9:$O$48,MATCH('Capital Costs Summary'!$C36,'Capital Costs'!$B$9:$B$48,0),MATCH('Capital Costs Summary'!F$3,'Capital Costs'!$B$2:$O$2,0))</f>
        <v>2636000</v>
      </c>
      <c r="G36" s="1330">
        <f>F36/(INDEX('Unit Specifications'!$C$14:$E$14,1,MATCH('Capital Costs Summary'!G$3,'Unit Specifications'!$C$8:$E$8,0))*1000)</f>
        <v>13.70475507169521</v>
      </c>
      <c r="H36" s="154"/>
      <c r="I36" s="1330">
        <f>INDEX('Capital Costs'!$B$9:$O$48,MATCH('Capital Costs Summary'!$C36,'Capital Costs'!$B$9:$B$48,0),MATCH('Capital Costs Summary'!I$3,'Capital Costs'!$B$2:$O$2,0))</f>
        <v>6007000</v>
      </c>
      <c r="J36" s="1331">
        <f>INDEX('Capital Costs'!$B$9:$O$48,MATCH('Capital Costs Summary'!$C36,'Capital Costs'!$B$9:$B$48,0),MATCH('Capital Costs Summary'!J$3,'Capital Costs'!$B$2:$O$2,0))</f>
        <v>6993000</v>
      </c>
      <c r="K36" s="1330">
        <f>I36/(INDEX('Unit Specifications'!$C$14:$E$14,1,MATCH('Capital Costs Summary'!K$3,'Unit Specifications'!$C$8:$E$8,0))*1000)</f>
        <v>8.2332785087719298</v>
      </c>
      <c r="L36" s="1330">
        <f>J36/(INDEX('Unit Specifications'!$C$14:$E$14,1,MATCH('Capital Costs Summary'!L$3,'Unit Specifications'!$C$8:$E$8,0))*1000)</f>
        <v>9.5847039473684212</v>
      </c>
      <c r="M36" s="154"/>
      <c r="N36" s="1330">
        <f>INDEX('Capital Costs'!$B$9:$O$48,MATCH('Capital Costs Summary'!$C36,'Capital Costs'!$B$9:$B$48,0),MATCH('Capital Costs Summary'!N$3,'Capital Costs'!$B$2:$O$2,0))</f>
        <v>1259000</v>
      </c>
      <c r="O36" s="1331">
        <f>INDEX('Capital Costs'!$B$9:$O$48,MATCH('Capital Costs Summary'!$C36,'Capital Costs'!$B$9:$B$48,0),MATCH('Capital Costs Summary'!O$3,'Capital Costs'!$B$2:$O$2,0))</f>
        <v>1441000</v>
      </c>
      <c r="P36" s="1330">
        <f>N36/(INDEX('Unit Specifications'!$C$14:$E$14,1,MATCH('Capital Costs Summary'!P$3,'Unit Specifications'!$C$8:$E$8,0))*1000)</f>
        <v>21.004337671004336</v>
      </c>
      <c r="Q36" s="1330">
        <f>O36/(INDEX('Unit Specifications'!$C$14:$E$14,1,MATCH('Capital Costs Summary'!Q$3,'Unit Specifications'!$C$8:$E$8,0))*1000)</f>
        <v>24.040707374040704</v>
      </c>
      <c r="R36" s="154"/>
      <c r="S36" s="1330">
        <f>INDEX('Capital Costs'!$B$9:$O$48,MATCH('Capital Costs Summary'!$C36,'Capital Costs'!$B$9:$B$48,0),MATCH('Capital Costs Summary'!S$3,'Capital Costs'!$B$2:$O$2,0))</f>
        <v>167000</v>
      </c>
      <c r="T36" s="1330"/>
      <c r="U36" s="1330">
        <f>S36/(INDEX('Cost Assumptions'!$D$12:$G$12,1,MATCH('Capital Costs Summary'!U$3,'Cost Assumptions'!$D$8:$G$8,0))*1000)</f>
        <v>27.833333333333332</v>
      </c>
      <c r="V36" s="1333"/>
    </row>
    <row r="37" spans="3:22">
      <c r="C37" s="161" t="s">
        <v>183</v>
      </c>
      <c r="D37" s="1330">
        <f>INDEX('Capital Costs'!$B$9:$O$48,MATCH('Capital Costs Summary'!$C37,'Capital Costs'!$B$9:$B$48,0),MATCH('Capital Costs Summary'!D$3,'Capital Costs'!$B$2:$O$2,0))</f>
        <v>2268000</v>
      </c>
      <c r="E37" s="1330">
        <f>D37/(INDEX('Unit Specifications'!$C$14:$E$14,1,MATCH('Capital Costs Summary'!E$3,'Unit Specifications'!$C$8:$E$8,0))*1000)</f>
        <v>11.791496397042767</v>
      </c>
      <c r="F37" s="1330">
        <f>INDEX('Capital Costs'!$B$9:$O$48,MATCH('Capital Costs Summary'!$C37,'Capital Costs'!$B$9:$B$48,0),MATCH('Capital Costs Summary'!F$3,'Capital Costs'!$B$2:$O$2,0))</f>
        <v>2594000</v>
      </c>
      <c r="G37" s="1330">
        <f>F37/(INDEX('Unit Specifications'!$C$14:$E$14,1,MATCH('Capital Costs Summary'!G$3,'Unit Specifications'!$C$8:$E$8,0))*1000)</f>
        <v>13.486394027305529</v>
      </c>
      <c r="H37" s="154"/>
      <c r="I37" s="1330">
        <f>INDEX('Capital Costs'!$B$9:$O$48,MATCH('Capital Costs Summary'!$C37,'Capital Costs'!$B$9:$B$48,0),MATCH('Capital Costs Summary'!I$3,'Capital Costs'!$B$2:$O$2,0))</f>
        <v>6013000</v>
      </c>
      <c r="J37" s="1331">
        <f>INDEX('Capital Costs'!$B$9:$O$48,MATCH('Capital Costs Summary'!$C37,'Capital Costs'!$B$9:$B$48,0),MATCH('Capital Costs Summary'!J$3,'Capital Costs'!$B$2:$O$2,0))</f>
        <v>6900000</v>
      </c>
      <c r="K37" s="1330">
        <f>I37/(INDEX('Unit Specifications'!$C$14:$E$14,1,MATCH('Capital Costs Summary'!K$3,'Unit Specifications'!$C$8:$E$8,0))*1000)</f>
        <v>8.2415021929824555</v>
      </c>
      <c r="L37" s="1330">
        <f>J37/(INDEX('Unit Specifications'!$C$14:$E$14,1,MATCH('Capital Costs Summary'!L$3,'Unit Specifications'!$C$8:$E$8,0))*1000)</f>
        <v>9.4572368421052637</v>
      </c>
      <c r="M37" s="154"/>
      <c r="N37" s="1330">
        <f>INDEX('Capital Costs'!$B$9:$O$48,MATCH('Capital Costs Summary'!$C37,'Capital Costs'!$B$9:$B$48,0),MATCH('Capital Costs Summary'!N$3,'Capital Costs'!$B$2:$O$2,0))</f>
        <v>2326000</v>
      </c>
      <c r="O37" s="1331">
        <f>INDEX('Capital Costs'!$B$9:$O$48,MATCH('Capital Costs Summary'!$C37,'Capital Costs'!$B$9:$B$48,0),MATCH('Capital Costs Summary'!O$3,'Capital Costs'!$B$2:$O$2,0))</f>
        <v>2655000</v>
      </c>
      <c r="P37" s="1330">
        <f>N37/(INDEX('Unit Specifications'!$C$14:$E$14,1,MATCH('Capital Costs Summary'!P$3,'Unit Specifications'!$C$8:$E$8,0))*1000)</f>
        <v>38.80547213880547</v>
      </c>
      <c r="Q37" s="1330">
        <f>O37/(INDEX('Unit Specifications'!$C$14:$E$14,1,MATCH('Capital Costs Summary'!Q$3,'Unit Specifications'!$C$8:$E$8,0))*1000)</f>
        <v>44.294294294294289</v>
      </c>
      <c r="R37" s="154"/>
      <c r="S37" s="1330">
        <f>INDEX('Capital Costs'!$B$9:$O$48,MATCH('Capital Costs Summary'!$C37,'Capital Costs'!$B$9:$B$48,0),MATCH('Capital Costs Summary'!S$3,'Capital Costs'!$B$2:$O$2,0))</f>
        <v>131000</v>
      </c>
      <c r="T37" s="1330"/>
      <c r="U37" s="1330">
        <f>S37/(INDEX('Cost Assumptions'!$D$12:$G$12,1,MATCH('Capital Costs Summary'!U$3,'Cost Assumptions'!$D$8:$G$8,0))*1000)</f>
        <v>21.833333333333332</v>
      </c>
      <c r="V37" s="1333"/>
    </row>
    <row r="38" spans="3:22">
      <c r="C38" s="161" t="s">
        <v>86</v>
      </c>
      <c r="D38" s="1330">
        <f>INDEX('Capital Costs'!$B$9:$O$48,MATCH('Capital Costs Summary'!$C38,'Capital Costs'!$B$9:$B$48,0),MATCH('Capital Costs Summary'!D$3,'Capital Costs'!$B$2:$O$2,0))</f>
        <v>5167000</v>
      </c>
      <c r="E38" s="1330">
        <f>D38/(INDEX('Unit Specifications'!$C$14:$E$14,1,MATCH('Capital Costs Summary'!E$3,'Unit Specifications'!$C$8:$E$8,0))*1000)</f>
        <v>26.863607532416218</v>
      </c>
      <c r="F38" s="1330">
        <f>INDEX('Capital Costs'!$B$9:$O$48,MATCH('Capital Costs Summary'!$C38,'Capital Costs'!$B$9:$B$48,0),MATCH('Capital Costs Summary'!F$3,'Capital Costs'!$B$2:$O$2,0))</f>
        <v>5972000</v>
      </c>
      <c r="G38" s="1330">
        <f>F38/(INDEX('Unit Specifications'!$C$14:$E$14,1,MATCH('Capital Costs Summary'!G$3,'Unit Specifications'!$C$8:$E$8,0))*1000)</f>
        <v>31.048860883218435</v>
      </c>
      <c r="H38" s="154"/>
      <c r="I38" s="1330">
        <f>INDEX('Capital Costs'!$B$9:$O$48,MATCH('Capital Costs Summary'!$C38,'Capital Costs'!$B$9:$B$48,0),MATCH('Capital Costs Summary'!I$3,'Capital Costs'!$B$2:$O$2,0))</f>
        <v>13638000</v>
      </c>
      <c r="J38" s="1331">
        <f>INDEX('Capital Costs'!$B$9:$O$48,MATCH('Capital Costs Summary'!$C38,'Capital Costs'!$B$9:$B$48,0),MATCH('Capital Costs Summary'!J$3,'Capital Costs'!$B$2:$O$2,0))</f>
        <v>15850000</v>
      </c>
      <c r="K38" s="1330">
        <f>I38/(INDEX('Unit Specifications'!$C$14:$E$14,1,MATCH('Capital Costs Summary'!K$3,'Unit Specifications'!$C$8:$E$8,0))*1000)</f>
        <v>18.692434210526315</v>
      </c>
      <c r="L38" s="1330">
        <f>J38/(INDEX('Unit Specifications'!$C$14:$E$14,1,MATCH('Capital Costs Summary'!L$3,'Unit Specifications'!$C$8:$E$8,0))*1000)</f>
        <v>21.724232456140349</v>
      </c>
      <c r="M38" s="154"/>
      <c r="N38" s="1330">
        <f>INDEX('Capital Costs'!$B$9:$O$48,MATCH('Capital Costs Summary'!$C38,'Capital Costs'!$B$9:$B$48,0),MATCH('Capital Costs Summary'!N$3,'Capital Costs'!$B$2:$O$2,0))</f>
        <v>3145000</v>
      </c>
      <c r="O38" s="1331">
        <f>INDEX('Capital Costs'!$B$9:$O$48,MATCH('Capital Costs Summary'!$C38,'Capital Costs'!$B$9:$B$48,0),MATCH('Capital Costs Summary'!O$3,'Capital Costs'!$B$2:$O$2,0))</f>
        <v>3600000</v>
      </c>
      <c r="P38" s="1330">
        <f>N38/(INDEX('Unit Specifications'!$C$14:$E$14,1,MATCH('Capital Costs Summary'!P$3,'Unit Specifications'!$C$8:$E$8,0))*1000)</f>
        <v>52.469135802469133</v>
      </c>
      <c r="Q38" s="1330">
        <f>O38/(INDEX('Unit Specifications'!$C$14:$E$14,1,MATCH('Capital Costs Summary'!Q$3,'Unit Specifications'!$C$8:$E$8,0))*1000)</f>
        <v>60.060060060060053</v>
      </c>
      <c r="R38" s="154"/>
      <c r="S38" s="1330">
        <f>INDEX('Capital Costs'!$B$9:$O$48,MATCH('Capital Costs Summary'!$C38,'Capital Costs'!$B$9:$B$48,0),MATCH('Capital Costs Summary'!S$3,'Capital Costs'!$B$2:$O$2,0))</f>
        <v>369000</v>
      </c>
      <c r="T38" s="1330"/>
      <c r="U38" s="1330">
        <f>S38/(INDEX('Cost Assumptions'!$D$12:$G$12,1,MATCH('Capital Costs Summary'!U$3,'Cost Assumptions'!$D$8:$G$8,0))*1000)</f>
        <v>61.5</v>
      </c>
      <c r="V38" s="1333"/>
    </row>
    <row r="39" spans="3:22" s="1329" customFormat="1">
      <c r="C39" s="153" t="s">
        <v>340</v>
      </c>
      <c r="D39" s="1334">
        <f>INDEX('Capital Costs'!$B$9:$O$48,MATCH('Capital Costs Summary'!$C39,'Capital Costs'!$B$9:$B$48,0),MATCH('Capital Costs Summary'!D$3,'Capital Costs'!$B$2:$O$2,0))</f>
        <v>35785000</v>
      </c>
      <c r="E39" s="1334">
        <f>D39/(INDEX('Unit Specifications'!$C$14:$E$14,1,MATCH('Capital Costs Summary'!E$3,'Unit Specifications'!$C$8:$E$8,0))*1000)</f>
        <v>186.04880889249358</v>
      </c>
      <c r="F39" s="1334">
        <f>INDEX('Capital Costs'!$B$9:$O$48,MATCH('Capital Costs Summary'!$C39,'Capital Costs'!$B$9:$B$48,0),MATCH('Capital Costs Summary'!F$3,'Capital Costs'!$B$2:$O$2,0))</f>
        <v>40997000</v>
      </c>
      <c r="G39" s="1334">
        <f>F39/(INDEX('Unit Specifications'!$C$14:$E$14,1,MATCH('Capital Costs Summary'!G$3,'Unit Specifications'!$C$8:$E$8,0))*1000)</f>
        <v>213.14637468675588</v>
      </c>
      <c r="H39" s="1335"/>
      <c r="I39" s="1334">
        <f>INDEX('Capital Costs'!$B$9:$O$48,MATCH('Capital Costs Summary'!$C39,'Capital Costs'!$B$9:$B$48,0),MATCH('Capital Costs Summary'!I$3,'Capital Costs'!$B$2:$O$2,0))</f>
        <v>94809000</v>
      </c>
      <c r="J39" s="1336">
        <f>INDEX('Capital Costs'!$B$9:$O$48,MATCH('Capital Costs Summary'!$C39,'Capital Costs'!$B$9:$B$48,0),MATCH('Capital Costs Summary'!J$3,'Capital Costs'!$B$2:$O$2,0))</f>
        <v>108995000</v>
      </c>
      <c r="K39" s="1334">
        <f>I39/(INDEX('Unit Specifications'!$C$14:$E$14,1,MATCH('Capital Costs Summary'!K$3,'Unit Specifications'!$C$8:$E$8,0))*1000)</f>
        <v>129.94654605263159</v>
      </c>
      <c r="L39" s="1334">
        <f>J39/(INDEX('Unit Specifications'!$C$14:$E$14,1,MATCH('Capital Costs Summary'!L$3,'Unit Specifications'!$C$8:$E$8,0))*1000)</f>
        <v>149.39007675438597</v>
      </c>
      <c r="M39" s="1335"/>
      <c r="N39" s="1334">
        <f>INDEX('Capital Costs'!$B$9:$O$48,MATCH('Capital Costs Summary'!$C39,'Capital Costs'!$B$9:$B$48,0),MATCH('Capital Costs Summary'!N$3,'Capital Costs'!$B$2:$O$2,0))</f>
        <v>34541000</v>
      </c>
      <c r="O39" s="1336">
        <f>INDEX('Capital Costs'!$B$9:$O$48,MATCH('Capital Costs Summary'!$C39,'Capital Costs'!$B$9:$B$48,0),MATCH('Capital Costs Summary'!O$3,'Capital Costs'!$B$2:$O$2,0))</f>
        <v>39440000</v>
      </c>
      <c r="P39" s="1334">
        <f>N39/(INDEX('Unit Specifications'!$C$14:$E$14,1,MATCH('Capital Costs Summary'!P$3,'Unit Specifications'!$C$8:$E$8,0))*1000)</f>
        <v>576.25959292625953</v>
      </c>
      <c r="Q39" s="1334">
        <f>O39/(INDEX('Unit Specifications'!$C$14:$E$14,1,MATCH('Capital Costs Summary'!Q$3,'Unit Specifications'!$C$8:$E$8,0))*1000)</f>
        <v>657.9913246579913</v>
      </c>
      <c r="R39" s="1335"/>
      <c r="S39" s="1334">
        <f>INDEX('Capital Costs'!$B$9:$O$48,MATCH('Capital Costs Summary'!$C39,'Capital Costs'!$B$9:$B$48,0),MATCH('Capital Costs Summary'!S$3,'Capital Costs'!$B$2:$O$2,0))</f>
        <v>2136000</v>
      </c>
      <c r="T39" s="1330"/>
      <c r="U39" s="1334">
        <f>S39/(INDEX('Cost Assumptions'!$D$12:$G$12,1,MATCH('Capital Costs Summary'!U$3,'Cost Assumptions'!$D$8:$G$8,0))*1000)</f>
        <v>356</v>
      </c>
      <c r="V39" s="1333"/>
    </row>
    <row r="40" spans="3:22" ht="6" customHeight="1">
      <c r="C40" s="389"/>
      <c r="D40" s="245"/>
      <c r="E40" s="1338"/>
      <c r="F40" s="245"/>
      <c r="G40" s="1338"/>
      <c r="H40" s="245"/>
      <c r="I40" s="245"/>
      <c r="J40" s="245"/>
      <c r="K40" s="1338"/>
      <c r="L40" s="1338"/>
      <c r="M40" s="245"/>
      <c r="N40" s="245"/>
      <c r="O40" s="245"/>
      <c r="P40" s="1338"/>
      <c r="Q40" s="1338"/>
      <c r="R40" s="245"/>
      <c r="S40" s="245"/>
      <c r="T40" s="1339"/>
      <c r="U40" s="1338"/>
      <c r="V40" s="1338"/>
    </row>
    <row r="41" spans="3:22" ht="6" customHeight="1">
      <c r="C41" s="226"/>
      <c r="D41" s="246"/>
      <c r="E41" s="1341"/>
      <c r="F41" s="246"/>
      <c r="G41" s="1341"/>
      <c r="H41" s="246"/>
      <c r="I41" s="246"/>
      <c r="J41" s="246"/>
      <c r="K41" s="1341"/>
      <c r="L41" s="1341"/>
      <c r="M41" s="246"/>
      <c r="N41" s="246"/>
      <c r="O41" s="246"/>
      <c r="P41" s="1341"/>
      <c r="Q41" s="1341"/>
      <c r="R41" s="246"/>
      <c r="S41" s="246"/>
      <c r="T41" s="1342"/>
      <c r="U41" s="1341"/>
      <c r="V41" s="1341"/>
    </row>
    <row r="42" spans="3:22">
      <c r="C42" s="153" t="s">
        <v>304</v>
      </c>
      <c r="D42" s="1334">
        <f>INDEX('Capital Costs'!$B$9:$O$48,MATCH('Capital Costs Summary'!$C42,'Capital Costs'!$B$9:$B$48,0),MATCH('Capital Costs Summary'!D$3,'Capital Costs'!$B$2:$O$2,0))</f>
        <v>263535000</v>
      </c>
      <c r="E42" s="1334">
        <f>D42/(INDEX('Unit Specifications'!$C$14:$E$14,1,MATCH('Capital Costs Summary'!E$3,'Unit Specifications'!$C$8:$E$8,0))*1000)</f>
        <v>1370.1375674579656</v>
      </c>
      <c r="F42" s="1334">
        <f>INDEX('Capital Costs'!$B$9:$O$48,MATCH('Capital Costs Summary'!$C42,'Capital Costs'!$B$9:$B$48,0),MATCH('Capital Costs Summary'!F$3,'Capital Costs'!$B$2:$O$2,0))</f>
        <v>304547000</v>
      </c>
      <c r="G42" s="1334">
        <f>F42/(INDEX('Unit Specifications'!$C$14:$E$14,1,MATCH('Capital Costs Summary'!G$3,'Unit Specifications'!$C$8:$E$8,0))*1000)</f>
        <v>1583.3619282320035</v>
      </c>
      <c r="H42" s="1335"/>
      <c r="I42" s="1334">
        <f>INDEX('Capital Costs'!$B$9:$O$48,MATCH('Capital Costs Summary'!$C42,'Capital Costs'!$B$9:$B$48,0),MATCH('Capital Costs Summary'!I$3,'Capital Costs'!$B$2:$O$2,0))</f>
        <v>695549000</v>
      </c>
      <c r="J42" s="1336">
        <f>INDEX('Capital Costs'!$B$9:$O$48,MATCH('Capital Costs Summary'!$C42,'Capital Costs'!$B$9:$B$48,0),MATCH('Capital Costs Summary'!J$3,'Capital Costs'!$B$2:$O$2,0))</f>
        <v>808344000</v>
      </c>
      <c r="K42" s="1334">
        <f>I42/(INDEX('Unit Specifications'!$C$14:$E$14,1,MATCH('Capital Costs Summary'!K$3,'Unit Specifications'!$C$8:$E$8,0))*1000)</f>
        <v>953.32922149122805</v>
      </c>
      <c r="L42" s="1334">
        <f>J42/(INDEX('Unit Specifications'!$C$14:$E$14,1,MATCH('Capital Costs Summary'!L$3,'Unit Specifications'!$C$8:$E$8,0))*1000)</f>
        <v>1107.9276315789473</v>
      </c>
      <c r="M42" s="1335"/>
      <c r="N42" s="1334">
        <f>INDEX('Capital Costs'!$B$9:$O$48,MATCH('Capital Costs Summary'!$C42,'Capital Costs'!$B$9:$B$48,0),MATCH('Capital Costs Summary'!N$3,'Capital Costs'!$B$2:$O$2,0))</f>
        <v>160412000</v>
      </c>
      <c r="O42" s="1336">
        <f>INDEX('Capital Costs'!$B$9:$O$48,MATCH('Capital Costs Summary'!$C42,'Capital Costs'!$B$9:$B$48,0),MATCH('Capital Costs Summary'!O$3,'Capital Costs'!$B$2:$O$2,0))</f>
        <v>183575000</v>
      </c>
      <c r="P42" s="1334">
        <f>N42/(INDEX('Unit Specifications'!$C$14:$E$14,1,MATCH('Capital Costs Summary'!P$3,'Unit Specifications'!$C$8:$E$8,0))*1000)</f>
        <v>2676.2095428762091</v>
      </c>
      <c r="Q42" s="1334">
        <f>O42/(INDEX('Unit Specifications'!$C$14:$E$14,1,MATCH('Capital Costs Summary'!Q$3,'Unit Specifications'!$C$8:$E$8,0))*1000)</f>
        <v>3062.6459793126455</v>
      </c>
      <c r="R42" s="1335"/>
      <c r="S42" s="1334">
        <f>INDEX('Capital Costs'!$B$9:$O$48,MATCH('Capital Costs Summary'!$C42,'Capital Costs'!$B$9:$B$48,0),MATCH('Capital Costs Summary'!S$3,'Capital Costs'!$B$2:$O$2,0))</f>
        <v>18834000</v>
      </c>
      <c r="T42" s="1334">
        <f>INDEX('[1]Capital Costs'!$B$9:$P$48,MATCH('Capital Costs Summary'!$C42,'[1]Capital Costs'!$B$9:$B$48,0),MATCH('Capital Costs Summary'!T$3,'[1]Capital Costs'!$B$2:$P$2,0))</f>
        <v>15558000</v>
      </c>
      <c r="U42" s="1334">
        <f>S42/(INDEX('Cost Assumptions'!$D$12:$G$12,1,MATCH('Capital Costs Summary'!U$3,'Cost Assumptions'!$D$8:$G$8,0))*1000)</f>
        <v>3139</v>
      </c>
      <c r="V42" s="1334">
        <f>T42/(INDEX('Cost Assumptions'!$D$12:$G$12,1,MATCH('Capital Costs Summary'!V$3,'Cost Assumptions'!$D$8:$G$8,0))*1000)</f>
        <v>2593</v>
      </c>
    </row>
    <row r="43" spans="3:22" ht="6" customHeight="1" thickBot="1">
      <c r="C43" s="169"/>
      <c r="D43" s="170"/>
      <c r="E43" s="1347"/>
      <c r="F43" s="1347"/>
      <c r="G43" s="1347"/>
      <c r="H43" s="170"/>
      <c r="I43" s="170"/>
      <c r="J43" s="170"/>
      <c r="K43" s="1347"/>
      <c r="L43" s="1347"/>
      <c r="M43" s="170"/>
      <c r="N43" s="1347"/>
      <c r="O43" s="1347"/>
      <c r="P43" s="1347"/>
      <c r="Q43" s="1347"/>
      <c r="R43" s="170"/>
      <c r="S43" s="170"/>
      <c r="T43" s="170"/>
      <c r="U43" s="170"/>
      <c r="V43" s="170"/>
    </row>
    <row r="44" spans="3:22" ht="6" customHeight="1" thickTop="1">
      <c r="C44" s="153" t="s">
        <v>137</v>
      </c>
      <c r="D44" s="156"/>
      <c r="E44" s="156"/>
      <c r="F44" s="156"/>
      <c r="G44" s="156"/>
      <c r="H44" s="156"/>
      <c r="I44" s="156"/>
      <c r="J44" s="156"/>
      <c r="K44" s="247"/>
      <c r="L44" s="247"/>
      <c r="M44" s="156"/>
      <c r="N44" s="156"/>
      <c r="O44" s="156"/>
      <c r="P44" s="156"/>
      <c r="Q44" s="156"/>
      <c r="R44" s="156"/>
      <c r="S44" s="156"/>
      <c r="T44" s="156"/>
      <c r="U44" s="156"/>
      <c r="V44" s="156"/>
    </row>
  </sheetData>
  <pageMargins left="0.7" right="0.7" top="0.75" bottom="0.75" header="0.3" footer="0.3"/>
  <pageSetup orientation="portrait" blackAndWhite="1" r:id="rId1"/>
</worksheet>
</file>

<file path=xl/worksheets/sheet38.xml><?xml version="1.0" encoding="utf-8"?>
<worksheet xmlns="http://schemas.openxmlformats.org/spreadsheetml/2006/main" xmlns:r="http://schemas.openxmlformats.org/officeDocument/2006/relationships">
  <sheetPr>
    <tabColor rgb="FF0000FF"/>
  </sheetPr>
  <dimension ref="A1:AD25"/>
  <sheetViews>
    <sheetView workbookViewId="0">
      <selection activeCell="P49" sqref="P49"/>
    </sheetView>
  </sheetViews>
  <sheetFormatPr defaultRowHeight="12.75" outlineLevelCol="1"/>
  <cols>
    <col min="2" max="2" width="41.140625" bestFit="1" customWidth="1"/>
    <col min="3" max="3" width="8.5703125" bestFit="1" customWidth="1"/>
    <col min="4" max="4" width="11.42578125" bestFit="1" customWidth="1"/>
    <col min="5" max="5" width="12.85546875" customWidth="1" outlineLevel="1"/>
    <col min="6" max="6" width="12.85546875" bestFit="1" customWidth="1"/>
    <col min="7" max="7" width="10.28515625" bestFit="1" customWidth="1"/>
    <col min="8" max="8" width="4.28515625" customWidth="1"/>
    <col min="9" max="9" width="41.140625" bestFit="1" customWidth="1"/>
    <col min="10" max="10" width="8.5703125" bestFit="1" customWidth="1"/>
    <col min="11" max="11" width="11.42578125" bestFit="1" customWidth="1"/>
    <col min="12" max="12" width="12.85546875" customWidth="1" outlineLevel="1"/>
    <col min="13" max="13" width="12.85546875" bestFit="1" customWidth="1"/>
    <col min="14" max="14" width="10.28515625" bestFit="1" customWidth="1"/>
    <col min="15" max="15" width="5" customWidth="1"/>
    <col min="16" max="16" width="41.28515625" bestFit="1" customWidth="1"/>
    <col min="17" max="17" width="8.5703125" bestFit="1" customWidth="1"/>
    <col min="18" max="18" width="11.42578125" bestFit="1" customWidth="1"/>
    <col min="19" max="19" width="12.85546875" customWidth="1" outlineLevel="1"/>
    <col min="20" max="20" width="12.85546875" bestFit="1" customWidth="1"/>
    <col min="21" max="21" width="10.28515625" bestFit="1" customWidth="1"/>
  </cols>
  <sheetData>
    <row r="1" spans="1:30" ht="6" customHeight="1" thickBot="1">
      <c r="B1" s="157"/>
      <c r="C1" s="157"/>
      <c r="D1" s="157"/>
      <c r="E1" s="157"/>
      <c r="F1" s="157"/>
      <c r="G1" s="157"/>
      <c r="I1" s="157"/>
      <c r="J1" s="157"/>
      <c r="K1" s="157"/>
      <c r="L1" s="157"/>
      <c r="M1" s="157"/>
      <c r="N1" s="157"/>
      <c r="P1" s="157"/>
      <c r="Q1" s="157"/>
      <c r="R1" s="157"/>
      <c r="S1" s="157"/>
      <c r="T1" s="157"/>
      <c r="U1" s="157"/>
    </row>
    <row r="2" spans="1:30" ht="6" customHeight="1" thickTop="1"/>
    <row r="3" spans="1:30">
      <c r="B3" s="453" t="s">
        <v>979</v>
      </c>
      <c r="C3" s="1271" t="s">
        <v>162</v>
      </c>
      <c r="D3" s="1271" t="s">
        <v>966</v>
      </c>
      <c r="E3" s="1271" t="s">
        <v>967</v>
      </c>
      <c r="F3" s="1271" t="s">
        <v>968</v>
      </c>
      <c r="G3" s="1271" t="s">
        <v>969</v>
      </c>
      <c r="I3" s="453" t="s">
        <v>978</v>
      </c>
      <c r="J3" s="1271" t="s">
        <v>162</v>
      </c>
      <c r="K3" s="1271" t="s">
        <v>966</v>
      </c>
      <c r="L3" s="1271" t="s">
        <v>967</v>
      </c>
      <c r="M3" s="1271" t="s">
        <v>968</v>
      </c>
      <c r="N3" s="1271" t="s">
        <v>969</v>
      </c>
      <c r="P3" s="453" t="s">
        <v>347</v>
      </c>
      <c r="Q3" s="1271" t="s">
        <v>162</v>
      </c>
      <c r="R3" s="1271" t="s">
        <v>966</v>
      </c>
      <c r="S3" s="1271" t="s">
        <v>967</v>
      </c>
      <c r="T3" s="1271" t="s">
        <v>968</v>
      </c>
      <c r="U3" s="1271" t="s">
        <v>969</v>
      </c>
    </row>
    <row r="4" spans="1:30" ht="6" customHeight="1">
      <c r="B4" s="1261"/>
      <c r="C4" s="1261"/>
      <c r="D4" s="1272"/>
      <c r="E4" s="1272"/>
      <c r="F4" s="1272"/>
      <c r="G4" s="1272"/>
      <c r="I4" s="1261"/>
      <c r="J4" s="1261"/>
      <c r="K4" s="1272"/>
      <c r="L4" s="1272"/>
      <c r="M4" s="1272"/>
      <c r="N4" s="1272"/>
      <c r="P4" s="1261"/>
      <c r="Q4" s="1261"/>
      <c r="R4" s="1272"/>
      <c r="S4" s="1272"/>
      <c r="T4" s="1272"/>
      <c r="U4" s="1272"/>
    </row>
    <row r="5" spans="1:30" ht="6" customHeight="1">
      <c r="D5" s="1273"/>
      <c r="E5" s="1273"/>
      <c r="F5" s="1273"/>
      <c r="G5" s="1273"/>
      <c r="H5" s="353"/>
      <c r="K5" s="1273"/>
      <c r="L5" s="1273"/>
      <c r="M5" s="1273"/>
      <c r="N5" s="1273"/>
      <c r="R5" s="1273"/>
      <c r="S5" s="1273"/>
      <c r="T5" s="1273"/>
      <c r="U5" s="1273"/>
    </row>
    <row r="6" spans="1:30">
      <c r="B6" s="1286" t="s">
        <v>980</v>
      </c>
      <c r="C6" s="1301" t="s">
        <v>343</v>
      </c>
      <c r="D6" s="1284">
        <f>'Capital Costs Summary'!G26-'Capital Costs Summary'!G25</f>
        <v>1245.6509758659056</v>
      </c>
      <c r="E6" s="1284">
        <v>988</v>
      </c>
      <c r="F6" s="1284">
        <f>E6*(1+'CONE Calcs'!Inflation)^7</f>
        <v>1154.5165458319138</v>
      </c>
      <c r="G6" s="1284">
        <f>D6-F6</f>
        <v>91.134430033991748</v>
      </c>
      <c r="H6" s="1285"/>
      <c r="I6" s="1286" t="s">
        <v>980</v>
      </c>
      <c r="J6" s="1301" t="s">
        <v>343</v>
      </c>
      <c r="K6" s="1284">
        <f>'Capital Costs Summary'!L26-'Capital Costs Summary'!L25</f>
        <v>871.39802631578948</v>
      </c>
      <c r="L6" s="1284">
        <f>1122</f>
        <v>1122</v>
      </c>
      <c r="M6" s="1284">
        <f>L6*(1+'CONE Calcs'!Inflation)^7</f>
        <v>1311.1007737079021</v>
      </c>
      <c r="N6" s="1284">
        <f>K6-M6</f>
        <v>-439.70274739211266</v>
      </c>
      <c r="O6" s="1287"/>
      <c r="P6" s="1286" t="s">
        <v>980</v>
      </c>
      <c r="Q6" s="1301" t="s">
        <v>343</v>
      </c>
      <c r="R6" s="1284">
        <f>'Capital Costs Summary'!Q26-'Capital Costs Summary'!Q25</f>
        <v>2186.0527193860521</v>
      </c>
      <c r="S6" s="1284">
        <v>2250</v>
      </c>
      <c r="T6" s="1284">
        <f>S6*(1+'CONE Calcs'!Inflation)^7</f>
        <v>2629.2127814998039</v>
      </c>
      <c r="U6" s="1284">
        <f>R6-T6</f>
        <v>-443.16006211375179</v>
      </c>
    </row>
    <row r="7" spans="1:30" s="353" customFormat="1">
      <c r="B7" s="1296" t="s">
        <v>973</v>
      </c>
      <c r="C7" s="1302" t="s">
        <v>343</v>
      </c>
      <c r="D7" s="1285">
        <f>SUM('Capital Costs Summary'!G13:G19,'Capital Costs Summary'!G22,'Capital Costs Summary'!G23)</f>
        <v>802.84077320606002</v>
      </c>
      <c r="E7" s="1285">
        <v>626</v>
      </c>
      <c r="F7" s="1285">
        <f>E7*(1+'CONE Calcs'!Inflation)^7</f>
        <v>731.50542276394538</v>
      </c>
      <c r="G7" s="1285">
        <f t="shared" ref="G7:G9" si="0">D7-F7</f>
        <v>71.335350442114645</v>
      </c>
      <c r="H7" s="1285"/>
      <c r="I7" s="1296" t="s">
        <v>973</v>
      </c>
      <c r="J7" s="1302" t="s">
        <v>343</v>
      </c>
      <c r="K7" s="1285">
        <f>SUM('Capital Costs Summary'!L13:L19,'Capital Costs Summary'!L22:L23)</f>
        <v>463.38404605263156</v>
      </c>
      <c r="L7" s="1285">
        <v>543</v>
      </c>
      <c r="M7" s="1285">
        <f>L7*(1+'CONE Calcs'!Inflation)^7</f>
        <v>634.51668460195265</v>
      </c>
      <c r="N7" s="1285">
        <f t="shared" ref="N7:N9" si="1">K7-M7</f>
        <v>-171.13263854932109</v>
      </c>
      <c r="O7" s="1285"/>
      <c r="P7" s="1296" t="s">
        <v>973</v>
      </c>
      <c r="Q7" s="1302" t="s">
        <v>343</v>
      </c>
      <c r="R7" s="1285">
        <f>SUM('Capital Costs Summary'!Q13:Q19,'Capital Costs Summary'!Q22:Q23)</f>
        <v>1807.0070070070071</v>
      </c>
      <c r="S7" s="1285">
        <v>0</v>
      </c>
      <c r="T7" s="1285">
        <f>S7*(1+'CONE Calcs'!Inflation)^7</f>
        <v>0</v>
      </c>
      <c r="U7" s="1285"/>
    </row>
    <row r="8" spans="1:30">
      <c r="B8" s="1297" t="s">
        <v>974</v>
      </c>
      <c r="C8" s="1301" t="s">
        <v>343</v>
      </c>
      <c r="D8" s="1284">
        <f>SUM('Capital Costs Summary'!G20:G21)</f>
        <v>329.5692048538541</v>
      </c>
      <c r="E8" s="1284">
        <v>136</v>
      </c>
      <c r="F8" s="1284">
        <f>E8*(1+'CONE Calcs'!Inflation)^7</f>
        <v>158.92130590398813</v>
      </c>
      <c r="G8" s="1284">
        <f t="shared" si="0"/>
        <v>170.64789894986598</v>
      </c>
      <c r="H8" s="1285"/>
      <c r="I8" s="1297" t="s">
        <v>974</v>
      </c>
      <c r="J8" s="1301" t="s">
        <v>343</v>
      </c>
      <c r="K8" s="1284">
        <f>SUM('Capital Costs Summary'!L20:L21)</f>
        <v>314.6504934210526</v>
      </c>
      <c r="L8" s="1284">
        <v>237</v>
      </c>
      <c r="M8" s="1284">
        <f>L8*(1+'CONE Calcs'!Inflation)^7</f>
        <v>276.94374631797933</v>
      </c>
      <c r="N8" s="1284">
        <f t="shared" si="1"/>
        <v>37.706747103073269</v>
      </c>
      <c r="O8" s="1287"/>
      <c r="P8" s="1297" t="s">
        <v>974</v>
      </c>
      <c r="Q8" s="1301" t="s">
        <v>343</v>
      </c>
      <c r="R8" s="1284">
        <f>SUM('Capital Costs Summary'!Q20:Q21)</f>
        <v>180.31364698031365</v>
      </c>
      <c r="S8" s="1284">
        <v>0</v>
      </c>
      <c r="T8" s="1284">
        <f>S8*(1+'CONE Calcs'!Inflation)^7</f>
        <v>0</v>
      </c>
      <c r="U8" s="1284"/>
    </row>
    <row r="9" spans="1:30" s="353" customFormat="1">
      <c r="B9" s="1296" t="s">
        <v>975</v>
      </c>
      <c r="C9" s="1302" t="s">
        <v>343</v>
      </c>
      <c r="D9" s="1285">
        <f>'Capital Costs Summary'!G24</f>
        <v>113.24099780599141</v>
      </c>
      <c r="E9" s="1285">
        <v>225</v>
      </c>
      <c r="F9" s="1285">
        <f>E9*(1+'CONE Calcs'!Inflation)^7</f>
        <v>262.92127814998037</v>
      </c>
      <c r="G9" s="1285">
        <f t="shared" si="0"/>
        <v>-149.68028034398895</v>
      </c>
      <c r="H9" s="1285"/>
      <c r="I9" s="1296" t="s">
        <v>975</v>
      </c>
      <c r="J9" s="1302" t="s">
        <v>343</v>
      </c>
      <c r="K9" s="1285">
        <f>'Capital Costs Summary'!L24</f>
        <v>93.36348684210526</v>
      </c>
      <c r="L9" s="1285">
        <v>342</v>
      </c>
      <c r="M9" s="1285">
        <f>L9*(1+'CONE Calcs'!Inflation)^7</f>
        <v>399.64034278797016</v>
      </c>
      <c r="N9" s="1285">
        <f t="shared" si="1"/>
        <v>-306.2768559458649</v>
      </c>
      <c r="O9" s="1285"/>
      <c r="P9" s="1296" t="s">
        <v>975</v>
      </c>
      <c r="Q9" s="1302" t="s">
        <v>343</v>
      </c>
      <c r="R9" s="1285">
        <f>'Capital Costs Summary'!Q24</f>
        <v>198.73206539873203</v>
      </c>
      <c r="S9" s="1285">
        <v>0</v>
      </c>
      <c r="T9" s="1285">
        <f>S9*(1+'CONE Calcs'!Inflation)^7</f>
        <v>0</v>
      </c>
      <c r="U9" s="1285"/>
    </row>
    <row r="10" spans="1:30" s="1277" customFormat="1">
      <c r="A10" s="353"/>
      <c r="B10" s="1288" t="s">
        <v>970</v>
      </c>
      <c r="C10" s="1301" t="s">
        <v>343</v>
      </c>
      <c r="D10" s="1284">
        <f>'Capital Costs Summary'!G39-'Capital Costs Summary'!G37</f>
        <v>199.65998065945035</v>
      </c>
      <c r="E10" s="1284">
        <v>70</v>
      </c>
      <c r="F10" s="1284">
        <f>E10*(1+'CONE Calcs'!Inflation)^7</f>
        <v>81.797730979993901</v>
      </c>
      <c r="G10" s="1284">
        <f>D10-F10</f>
        <v>117.86224967945645</v>
      </c>
      <c r="H10" s="1285"/>
      <c r="I10" s="1288" t="s">
        <v>970</v>
      </c>
      <c r="J10" s="1301" t="s">
        <v>343</v>
      </c>
      <c r="K10" s="1284">
        <f>'Capital Costs Summary'!L39-'Capital Costs Summary'!L37</f>
        <v>139.93283991228071</v>
      </c>
      <c r="L10" s="1284">
        <v>39</v>
      </c>
      <c r="M10" s="1284">
        <f>L10*(1+'CONE Calcs'!Inflation)^7</f>
        <v>45.573021545996596</v>
      </c>
      <c r="N10" s="1284">
        <f>K10-M10</f>
        <v>94.359818366284117</v>
      </c>
      <c r="O10" s="1285"/>
      <c r="P10" s="1288" t="s">
        <v>970</v>
      </c>
      <c r="Q10" s="1301" t="s">
        <v>343</v>
      </c>
      <c r="R10" s="1284">
        <f>'Capital Costs Summary'!Q39-'Capital Costs Summary'!Q37</f>
        <v>613.69703036369697</v>
      </c>
      <c r="S10" s="1284">
        <v>45</v>
      </c>
      <c r="T10" s="1284">
        <f>S10*(1+'CONE Calcs'!Inflation)^7</f>
        <v>52.584255629996072</v>
      </c>
      <c r="U10" s="1284">
        <f>R10-T10</f>
        <v>561.11277473370092</v>
      </c>
      <c r="V10" s="353"/>
      <c r="W10" s="353"/>
      <c r="X10" s="353"/>
      <c r="Y10" s="353"/>
      <c r="Z10" s="353"/>
      <c r="AA10" s="353"/>
      <c r="AB10" s="353"/>
      <c r="AC10" s="353"/>
      <c r="AD10" s="353"/>
    </row>
    <row r="11" spans="1:30" s="353" customFormat="1">
      <c r="B11" s="1290" t="s">
        <v>971</v>
      </c>
      <c r="C11" s="1302" t="s">
        <v>343</v>
      </c>
      <c r="D11" s="1289">
        <f>'Capital Costs Summary'!G25+'Capital Costs Summary'!G37</f>
        <v>138.05097170664754</v>
      </c>
      <c r="E11" s="1289">
        <v>49</v>
      </c>
      <c r="F11" s="1285">
        <f>E11*(1+'CONE Calcs'!Inflation)^7</f>
        <v>57.258411685995725</v>
      </c>
      <c r="G11" s="1285">
        <f>D11-F11</f>
        <v>80.79256002065182</v>
      </c>
      <c r="H11" s="1285"/>
      <c r="I11" s="1290" t="s">
        <v>971</v>
      </c>
      <c r="J11" s="1302" t="s">
        <v>343</v>
      </c>
      <c r="K11" s="1289">
        <f>'Capital Costs Summary'!L25+'Capital Costs Summary'!L37</f>
        <v>96.596765350877192</v>
      </c>
      <c r="L11" s="1289">
        <v>56</v>
      </c>
      <c r="M11" s="1285">
        <f>L11*(1+'CONE Calcs'!Inflation)^7</f>
        <v>65.438184783995112</v>
      </c>
      <c r="N11" s="1285">
        <f>K11-M11</f>
        <v>31.15858056688208</v>
      </c>
      <c r="O11" s="1285"/>
      <c r="P11" s="1290" t="s">
        <v>971</v>
      </c>
      <c r="Q11" s="1302" t="s">
        <v>343</v>
      </c>
      <c r="R11" s="1289">
        <f>'Capital Costs Summary'!Q25+'Capital Costs Summary'!Q37</f>
        <v>262.89622956289622</v>
      </c>
      <c r="S11" s="1289">
        <v>113</v>
      </c>
      <c r="T11" s="1285">
        <f>S11*(1+'CONE Calcs'!Inflation)^7</f>
        <v>132.04490858199014</v>
      </c>
      <c r="U11" s="1285">
        <f>R11-T11</f>
        <v>130.85132098090608</v>
      </c>
    </row>
    <row r="12" spans="1:30" s="1277" customFormat="1">
      <c r="A12" s="353"/>
      <c r="B12" s="1300" t="s">
        <v>972</v>
      </c>
      <c r="C12" s="1301" t="s">
        <v>343</v>
      </c>
      <c r="D12" s="1284">
        <v>69</v>
      </c>
      <c r="E12" s="1284">
        <v>47</v>
      </c>
      <c r="F12" s="1284">
        <f>E12*(1+'CONE Calcs'!Inflation)^7</f>
        <v>54.921333657995902</v>
      </c>
      <c r="G12" s="1284">
        <f>D12-F12</f>
        <v>14.078666342004098</v>
      </c>
      <c r="H12" s="1285"/>
      <c r="I12" s="1300" t="s">
        <v>972</v>
      </c>
      <c r="J12" s="1301" t="s">
        <v>343</v>
      </c>
      <c r="K12" s="1284">
        <v>95</v>
      </c>
      <c r="L12" s="1284">
        <v>78</v>
      </c>
      <c r="M12" s="1284">
        <f>L12*(1+'CONE Calcs'!Inflation)^7</f>
        <v>91.146043091993192</v>
      </c>
      <c r="N12" s="1284">
        <f>K12-M12</f>
        <v>3.8539569080068077</v>
      </c>
      <c r="O12" s="1285"/>
      <c r="P12" s="1300" t="s">
        <v>972</v>
      </c>
      <c r="Q12" s="1301" t="s">
        <v>343</v>
      </c>
      <c r="R12" s="1284">
        <v>200</v>
      </c>
      <c r="S12" s="1284">
        <v>87</v>
      </c>
      <c r="T12" s="1284">
        <f>S12*(1+'CONE Calcs'!Inflation)^7</f>
        <v>101.66289421799242</v>
      </c>
      <c r="U12" s="1284">
        <f>R12-T12</f>
        <v>98.337105782007583</v>
      </c>
      <c r="V12" s="353"/>
      <c r="W12" s="353"/>
      <c r="X12" s="353"/>
      <c r="Y12" s="353"/>
      <c r="Z12" s="353"/>
      <c r="AA12" s="353"/>
      <c r="AB12" s="353"/>
      <c r="AC12" s="353"/>
      <c r="AD12" s="353"/>
    </row>
    <row r="13" spans="1:30" s="353" customFormat="1">
      <c r="B13" s="1293" t="s">
        <v>976</v>
      </c>
      <c r="C13" s="1303" t="s">
        <v>343</v>
      </c>
      <c r="D13" s="1292">
        <f>SUM(D6,D10,D11,D12)</f>
        <v>1652.3619282320035</v>
      </c>
      <c r="E13" s="1292">
        <f>SUM(E6,E10,E11,E12)</f>
        <v>1154</v>
      </c>
      <c r="F13" s="1292">
        <f>E13*(1+'CONE Calcs'!Inflation)^7</f>
        <v>1348.4940221558993</v>
      </c>
      <c r="G13" s="1292">
        <f>D13-F13</f>
        <v>303.86790607610419</v>
      </c>
      <c r="H13" s="1292"/>
      <c r="I13" s="1293" t="s">
        <v>976</v>
      </c>
      <c r="J13" s="1303" t="s">
        <v>343</v>
      </c>
      <c r="K13" s="1292">
        <f>SUM(K6,K10,K11,K12)</f>
        <v>1202.9276315789473</v>
      </c>
      <c r="L13" s="1292">
        <f>SUM(L6,L10,L11,L12)</f>
        <v>1295</v>
      </c>
      <c r="M13" s="1292">
        <f>L13*(1+'CONE Calcs'!Inflation)^7</f>
        <v>1513.2580231298871</v>
      </c>
      <c r="N13" s="1292">
        <f>K13-M13</f>
        <v>-310.33039155093979</v>
      </c>
      <c r="O13" s="1292"/>
      <c r="P13" s="1293" t="s">
        <v>976</v>
      </c>
      <c r="Q13" s="1303" t="s">
        <v>343</v>
      </c>
      <c r="R13" s="1292">
        <f>SUM(R6,R10,R11,R12)</f>
        <v>3262.6459793126451</v>
      </c>
      <c r="S13" s="1292">
        <f>SUM(S6,S10,S11,S12)</f>
        <v>2495</v>
      </c>
      <c r="T13" s="1292">
        <f>S13*(1+'CONE Calcs'!Inflation)^7</f>
        <v>2915.5048399297825</v>
      </c>
      <c r="U13" s="1292">
        <f>R13-T13</f>
        <v>347.14113938286255</v>
      </c>
    </row>
    <row r="14" spans="1:30" s="353" customFormat="1">
      <c r="B14" s="1278" t="s">
        <v>293</v>
      </c>
      <c r="C14" s="1304" t="s">
        <v>403</v>
      </c>
      <c r="D14" s="1284">
        <v>32</v>
      </c>
      <c r="E14" s="1284">
        <v>30</v>
      </c>
      <c r="F14" s="1286">
        <f>E14*(1+'CONE Calcs'!Inflation)^7</f>
        <v>35.056170419997386</v>
      </c>
      <c r="G14" s="1284">
        <f>D14-F14</f>
        <v>-3.056170419997386</v>
      </c>
      <c r="H14" s="1285"/>
      <c r="I14" s="1278" t="s">
        <v>293</v>
      </c>
      <c r="J14" s="1304" t="s">
        <v>403</v>
      </c>
      <c r="K14" s="1284">
        <v>28</v>
      </c>
      <c r="L14" s="1284">
        <v>16</v>
      </c>
      <c r="M14" s="1284">
        <f>L14*(1+'CONE Calcs'!Inflation)^7</f>
        <v>18.696624223998604</v>
      </c>
      <c r="N14" s="1284">
        <f>K14-M14</f>
        <v>9.3033757760013955</v>
      </c>
      <c r="O14" s="1285"/>
      <c r="P14" s="1278" t="s">
        <v>293</v>
      </c>
      <c r="Q14" s="1304" t="s">
        <v>403</v>
      </c>
      <c r="R14" s="1284">
        <v>79</v>
      </c>
      <c r="S14" s="1284">
        <v>41</v>
      </c>
      <c r="T14" s="1284">
        <f>S14*(1+'CONE Calcs'!Inflation)^7</f>
        <v>47.910099573996426</v>
      </c>
      <c r="U14" s="1284">
        <f>R14-T14</f>
        <v>31.089900426003574</v>
      </c>
    </row>
    <row r="15" spans="1:30" ht="6" customHeight="1">
      <c r="A15" s="353"/>
      <c r="B15" s="1275"/>
      <c r="C15" s="1272"/>
      <c r="D15" s="1276"/>
      <c r="E15" s="1261"/>
      <c r="F15" s="1276"/>
      <c r="G15" s="1276"/>
      <c r="H15" s="353"/>
      <c r="I15" s="1275"/>
      <c r="J15" s="1272"/>
      <c r="K15" s="1276"/>
      <c r="L15" s="1261"/>
      <c r="M15" s="1276"/>
      <c r="N15" s="1276"/>
      <c r="O15" s="353"/>
      <c r="P15" s="1275"/>
      <c r="Q15" s="1272"/>
      <c r="R15" s="1276"/>
      <c r="S15" s="1261"/>
      <c r="T15" s="1276"/>
      <c r="U15" s="1276"/>
      <c r="V15" s="353"/>
      <c r="W15" s="353"/>
      <c r="X15" s="353"/>
      <c r="Y15" s="353"/>
      <c r="Z15" s="353"/>
      <c r="AA15" s="353"/>
      <c r="AB15" s="353"/>
      <c r="AC15" s="353"/>
      <c r="AD15" s="353"/>
    </row>
    <row r="16" spans="1:30" ht="6" customHeight="1">
      <c r="A16" s="353"/>
      <c r="B16" s="1274"/>
      <c r="C16" s="1273"/>
      <c r="F16" s="1205"/>
      <c r="H16" s="353"/>
      <c r="I16" s="1274"/>
      <c r="J16" s="1273"/>
      <c r="M16" s="1205"/>
      <c r="O16" s="353"/>
      <c r="P16" s="1274"/>
      <c r="Q16" s="1273"/>
      <c r="T16" s="1205"/>
      <c r="V16" s="353"/>
      <c r="W16" s="353"/>
      <c r="X16" s="353"/>
      <c r="Y16" s="353"/>
      <c r="Z16" s="353"/>
      <c r="AA16" s="353"/>
      <c r="AB16" s="353"/>
      <c r="AC16" s="353"/>
      <c r="AD16" s="353"/>
    </row>
    <row r="17" spans="1:30" s="1277" customFormat="1">
      <c r="A17" s="353"/>
      <c r="B17" s="1278" t="s">
        <v>344</v>
      </c>
      <c r="C17" s="1304" t="s">
        <v>258</v>
      </c>
      <c r="D17" s="1282">
        <v>7.1999999999999995E-2</v>
      </c>
      <c r="E17" s="1282">
        <v>6.3E-2</v>
      </c>
      <c r="F17" s="1282">
        <v>6.3E-2</v>
      </c>
      <c r="G17" s="1283">
        <f t="shared" ref="G17:G22" si="2">D17-F17</f>
        <v>8.9999999999999941E-3</v>
      </c>
      <c r="H17" s="353"/>
      <c r="I17" s="1278" t="s">
        <v>344</v>
      </c>
      <c r="J17" s="1304" t="s">
        <v>258</v>
      </c>
      <c r="K17" s="1282">
        <v>7.1999999999999995E-2</v>
      </c>
      <c r="L17" s="1282">
        <v>6.3E-2</v>
      </c>
      <c r="M17" s="1282">
        <v>6.3E-2</v>
      </c>
      <c r="N17" s="1283">
        <f t="shared" ref="N17:N22" si="3">K17-M17</f>
        <v>8.9999999999999941E-3</v>
      </c>
      <c r="O17" s="353"/>
      <c r="P17" s="1278" t="s">
        <v>344</v>
      </c>
      <c r="Q17" s="1304" t="s">
        <v>258</v>
      </c>
      <c r="R17" s="1282">
        <v>7.1999999999999995E-2</v>
      </c>
      <c r="S17" s="1282">
        <v>6.3E-2</v>
      </c>
      <c r="T17" s="1282">
        <v>6.3E-2</v>
      </c>
      <c r="U17" s="1283">
        <f t="shared" ref="U17:U22" si="4">R17-T17</f>
        <v>8.9999999999999941E-3</v>
      </c>
      <c r="V17" s="353"/>
      <c r="W17" s="353"/>
      <c r="X17" s="353"/>
      <c r="Y17" s="353"/>
      <c r="Z17" s="353"/>
      <c r="AA17" s="353"/>
      <c r="AB17" s="353"/>
      <c r="AC17" s="353"/>
      <c r="AD17" s="353"/>
    </row>
    <row r="18" spans="1:30" s="353" customFormat="1">
      <c r="B18" s="1280" t="s">
        <v>328</v>
      </c>
      <c r="C18" s="1305" t="s">
        <v>333</v>
      </c>
      <c r="D18" s="353">
        <v>16.100000000000001</v>
      </c>
      <c r="E18" s="353">
        <f>E22+E21</f>
        <v>13.1</v>
      </c>
      <c r="F18" s="1281">
        <f>E18*(1+'CONE Calcs'!Inflation)^7</f>
        <v>15.307861083398857</v>
      </c>
      <c r="G18" s="1281">
        <f t="shared" si="2"/>
        <v>0.79213891660114477</v>
      </c>
      <c r="I18" s="1280" t="s">
        <v>328</v>
      </c>
      <c r="J18" s="1305" t="s">
        <v>333</v>
      </c>
      <c r="K18" s="1281">
        <v>12.6</v>
      </c>
      <c r="L18" s="353">
        <f>L22+L21</f>
        <v>14.100000000000001</v>
      </c>
      <c r="M18" s="1281">
        <f>L18*(1+'CONE Calcs'!Inflation)^7</f>
        <v>16.476400097398773</v>
      </c>
      <c r="N18" s="1281">
        <f t="shared" si="3"/>
        <v>-3.8764000973987738</v>
      </c>
      <c r="P18" s="1280" t="s">
        <v>328</v>
      </c>
      <c r="Q18" s="1305" t="s">
        <v>333</v>
      </c>
      <c r="R18" s="1281">
        <v>23.9</v>
      </c>
      <c r="S18" s="1281">
        <f>S22+S21</f>
        <v>26</v>
      </c>
      <c r="T18" s="1281">
        <f>S18*(1+'CONE Calcs'!Inflation)^7</f>
        <v>30.382014363997733</v>
      </c>
      <c r="U18" s="1281">
        <f t="shared" si="4"/>
        <v>-6.4820143639977346</v>
      </c>
    </row>
    <row r="19" spans="1:30" s="353" customFormat="1">
      <c r="B19" s="1295" t="s">
        <v>345</v>
      </c>
      <c r="C19" s="1304" t="s">
        <v>333</v>
      </c>
      <c r="D19" s="1279">
        <f>D18-D20</f>
        <v>13.433333333333335</v>
      </c>
      <c r="E19" s="1279">
        <f>E18-E20</f>
        <v>10.6</v>
      </c>
      <c r="F19" s="1307">
        <f>E19*(1+'CONE Calcs'!Inflation)^7</f>
        <v>12.386513548399074</v>
      </c>
      <c r="G19" s="1279">
        <f t="shared" si="2"/>
        <v>1.0468197849342609</v>
      </c>
      <c r="H19" s="1277"/>
      <c r="I19" s="1295" t="s">
        <v>345</v>
      </c>
      <c r="J19" s="1304" t="s">
        <v>333</v>
      </c>
      <c r="K19" s="1279">
        <f>K18-K20</f>
        <v>10.266666666666666</v>
      </c>
      <c r="L19" s="1279">
        <f>L18-L20</f>
        <v>12.766666666666667</v>
      </c>
      <c r="M19" s="1307">
        <f>L19*(1+'CONE Calcs'!Inflation)^7</f>
        <v>14.918348078732221</v>
      </c>
      <c r="N19" s="1279">
        <f t="shared" si="3"/>
        <v>-4.651681412065555</v>
      </c>
      <c r="O19" s="1277"/>
      <c r="P19" s="1295" t="s">
        <v>345</v>
      </c>
      <c r="Q19" s="1304" t="s">
        <v>333</v>
      </c>
      <c r="R19" s="1279">
        <f>R18-R20</f>
        <v>17.316666666666666</v>
      </c>
      <c r="S19" s="1279">
        <f>S18-S20</f>
        <v>22.583333333333332</v>
      </c>
      <c r="T19" s="1307">
        <f>S19*(1+'CONE Calcs'!Inflation)^7</f>
        <v>26.389506066164696</v>
      </c>
      <c r="U19" s="1279">
        <f t="shared" si="4"/>
        <v>-9.0728393994980294</v>
      </c>
    </row>
    <row r="20" spans="1:30" s="353" customFormat="1">
      <c r="B20" s="1294" t="s">
        <v>293</v>
      </c>
      <c r="C20" s="1305" t="s">
        <v>333</v>
      </c>
      <c r="D20" s="1281">
        <f>D14/12</f>
        <v>2.6666666666666665</v>
      </c>
      <c r="E20" s="1281">
        <f>E14/12</f>
        <v>2.5</v>
      </c>
      <c r="F20" s="1308">
        <f>E20*(1+'CONE Calcs'!Inflation)^7</f>
        <v>2.9213475349997822</v>
      </c>
      <c r="G20" s="1309">
        <f t="shared" si="2"/>
        <v>-0.25468086833311565</v>
      </c>
      <c r="I20" s="1294" t="s">
        <v>293</v>
      </c>
      <c r="J20" s="1305" t="s">
        <v>333</v>
      </c>
      <c r="K20" s="1281">
        <f>K14/12</f>
        <v>2.3333333333333335</v>
      </c>
      <c r="L20" s="1281">
        <f>L14/12</f>
        <v>1.3333333333333333</v>
      </c>
      <c r="M20" s="1308">
        <f>L20*(1+'CONE Calcs'!Inflation)^7</f>
        <v>1.5580520186665503</v>
      </c>
      <c r="N20" s="1309">
        <f t="shared" si="3"/>
        <v>0.77528131466678318</v>
      </c>
      <c r="P20" s="1294" t="s">
        <v>293</v>
      </c>
      <c r="Q20" s="1305" t="s">
        <v>333</v>
      </c>
      <c r="R20" s="1281">
        <f>R14/12</f>
        <v>6.583333333333333</v>
      </c>
      <c r="S20" s="1281">
        <f>S14/12</f>
        <v>3.4166666666666665</v>
      </c>
      <c r="T20" s="1308">
        <f>S20*(1+'CONE Calcs'!Inflation)^7</f>
        <v>3.9925082978330351</v>
      </c>
      <c r="U20" s="1309">
        <f t="shared" si="4"/>
        <v>2.590825035500298</v>
      </c>
    </row>
    <row r="21" spans="1:30" s="1277" customFormat="1">
      <c r="A21" s="353"/>
      <c r="B21" s="1278" t="s">
        <v>977</v>
      </c>
      <c r="C21" s="1304" t="s">
        <v>333</v>
      </c>
      <c r="D21" s="1279">
        <v>2.7</v>
      </c>
      <c r="E21" s="1277">
        <v>2.9</v>
      </c>
      <c r="F21" s="1279">
        <f>E21*(1+'CONE Calcs'!Inflation)^7</f>
        <v>3.3887631405997469</v>
      </c>
      <c r="G21" s="1279">
        <f t="shared" si="2"/>
        <v>-0.68876314059974675</v>
      </c>
      <c r="H21" s="353"/>
      <c r="I21" s="1278" t="s">
        <v>977</v>
      </c>
      <c r="J21" s="1304" t="s">
        <v>333</v>
      </c>
      <c r="K21" s="1279">
        <v>3.8</v>
      </c>
      <c r="L21" s="1277">
        <v>3.2</v>
      </c>
      <c r="M21" s="1279">
        <f>L21*(1+'CONE Calcs'!Inflation)^7</f>
        <v>3.7393248447997212</v>
      </c>
      <c r="N21" s="1279">
        <f t="shared" si="3"/>
        <v>6.0675155200278663E-2</v>
      </c>
      <c r="O21" s="353"/>
      <c r="P21" s="1278" t="s">
        <v>977</v>
      </c>
      <c r="Q21" s="1304" t="s">
        <v>333</v>
      </c>
      <c r="R21" s="1279">
        <v>27.5</v>
      </c>
      <c r="S21" s="1277">
        <v>21.3</v>
      </c>
      <c r="T21" s="1279">
        <f>S21*(1+'CONE Calcs'!Inflation)^7</f>
        <v>24.889880998198144</v>
      </c>
      <c r="U21" s="1279">
        <f t="shared" si="4"/>
        <v>2.6101190018018556</v>
      </c>
      <c r="V21" s="353"/>
      <c r="W21" s="353"/>
      <c r="X21" s="353"/>
      <c r="Y21" s="353"/>
      <c r="Z21" s="353"/>
      <c r="AA21" s="353"/>
      <c r="AB21" s="353"/>
      <c r="AC21" s="353"/>
      <c r="AD21" s="353"/>
    </row>
    <row r="22" spans="1:30" s="353" customFormat="1">
      <c r="B22" s="1291" t="s">
        <v>865</v>
      </c>
      <c r="C22" s="1306" t="s">
        <v>333</v>
      </c>
      <c r="D22" s="1299">
        <v>13.4</v>
      </c>
      <c r="E22" s="1299">
        <v>10.199999999999999</v>
      </c>
      <c r="F22" s="1298">
        <f>E22*(1+'CONE Calcs'!Inflation)^7</f>
        <v>11.919097942799109</v>
      </c>
      <c r="G22" s="1298">
        <f t="shared" si="2"/>
        <v>1.4809020572008915</v>
      </c>
      <c r="I22" s="1291" t="s">
        <v>865</v>
      </c>
      <c r="J22" s="1306" t="s">
        <v>333</v>
      </c>
      <c r="K22" s="1298">
        <v>8.8699999999999992</v>
      </c>
      <c r="L22" s="1299">
        <v>10.9</v>
      </c>
      <c r="M22" s="1298">
        <f>M18-M21</f>
        <v>12.737075252599052</v>
      </c>
      <c r="N22" s="1298">
        <f t="shared" si="3"/>
        <v>-3.8670752525990526</v>
      </c>
      <c r="O22" s="1167"/>
      <c r="P22" s="1291" t="s">
        <v>865</v>
      </c>
      <c r="Q22" s="1306" t="s">
        <v>333</v>
      </c>
      <c r="R22" s="1298">
        <v>-3.6</v>
      </c>
      <c r="S22" s="1298">
        <v>4.7</v>
      </c>
      <c r="T22" s="1298">
        <f>T18-T21</f>
        <v>5.4921333657995888</v>
      </c>
      <c r="U22" s="1298">
        <f t="shared" si="4"/>
        <v>-9.0921333657995884</v>
      </c>
    </row>
    <row r="23" spans="1:30" ht="6" customHeight="1" thickBot="1">
      <c r="B23" s="157"/>
      <c r="C23" s="157"/>
      <c r="D23" s="157"/>
      <c r="E23" s="157"/>
      <c r="F23" s="157"/>
      <c r="G23" s="157"/>
      <c r="H23" s="353"/>
      <c r="I23" s="157"/>
      <c r="J23" s="157"/>
      <c r="K23" s="157"/>
      <c r="L23" s="157"/>
      <c r="M23" s="157"/>
      <c r="N23" s="157"/>
      <c r="P23" s="157"/>
      <c r="Q23" s="157"/>
      <c r="R23" s="157"/>
      <c r="S23" s="157"/>
      <c r="T23" s="157"/>
      <c r="U23" s="157"/>
    </row>
    <row r="24" spans="1:30" ht="6" customHeight="1" thickTop="1">
      <c r="H24" s="353"/>
    </row>
    <row r="25" spans="1:30">
      <c r="D25" s="489"/>
      <c r="E25" s="489"/>
      <c r="K25" s="489"/>
      <c r="L25" s="489"/>
      <c r="R25" s="489"/>
      <c r="S25" s="48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7">
    <tabColor theme="3"/>
  </sheetPr>
  <dimension ref="A1:BI133"/>
  <sheetViews>
    <sheetView view="pageBreakPreview" zoomScaleNormal="85" zoomScaleSheetLayoutView="100" workbookViewId="0">
      <selection activeCell="D13" sqref="D13"/>
    </sheetView>
  </sheetViews>
  <sheetFormatPr defaultColWidth="8" defaultRowHeight="12.75" outlineLevelRow="1"/>
  <cols>
    <col min="1" max="2" width="3.140625" style="16" customWidth="1"/>
    <col min="3" max="3" width="27.7109375" style="16" customWidth="1"/>
    <col min="4" max="4" width="14.7109375" style="16" customWidth="1"/>
    <col min="5" max="7" width="13.7109375" style="16" customWidth="1"/>
    <col min="8" max="14" width="9.7109375" style="16" customWidth="1"/>
    <col min="15" max="15" width="9.5703125" style="16" customWidth="1"/>
    <col min="16" max="54" width="9.7109375" style="16" customWidth="1"/>
    <col min="55" max="16384" width="8" style="16"/>
  </cols>
  <sheetData>
    <row r="1" spans="2:12" s="1" customFormat="1" ht="7.5" customHeight="1"/>
    <row r="2" spans="2:12" s="1" customFormat="1" ht="25.5">
      <c r="B2" s="2" t="s">
        <v>0</v>
      </c>
    </row>
    <row r="3" spans="2:12" s="1" customFormat="1" ht="12.75" customHeight="1">
      <c r="B3" s="2"/>
    </row>
    <row r="4" spans="2:12" s="3" customFormat="1" ht="15.75">
      <c r="B4" s="3">
        <v>1</v>
      </c>
      <c r="C4" s="3" t="s">
        <v>56</v>
      </c>
      <c r="D4" s="5"/>
      <c r="E4" s="5"/>
    </row>
    <row r="5" spans="2:12" s="6" customFormat="1">
      <c r="E5" s="8"/>
      <c r="F5" s="8"/>
      <c r="G5" s="8"/>
    </row>
    <row r="6" spans="2:12" s="6" customFormat="1">
      <c r="C6" s="6" t="s">
        <v>57</v>
      </c>
      <c r="D6" s="139" t="s">
        <v>101</v>
      </c>
      <c r="E6" s="66" t="s">
        <v>66</v>
      </c>
      <c r="F6" s="66" t="s">
        <v>67</v>
      </c>
      <c r="G6" s="66" t="s">
        <v>101</v>
      </c>
      <c r="H6" s="66" t="s">
        <v>406</v>
      </c>
      <c r="I6" s="66"/>
    </row>
    <row r="7" spans="2:12" s="6" customFormat="1">
      <c r="C7" s="137" t="s">
        <v>880</v>
      </c>
      <c r="D7" s="139" t="s">
        <v>894</v>
      </c>
      <c r="E7" s="305" t="s">
        <v>894</v>
      </c>
      <c r="F7" s="305" t="s">
        <v>895</v>
      </c>
      <c r="G7" s="305" t="s">
        <v>896</v>
      </c>
      <c r="H7" s="66"/>
      <c r="I7" s="66"/>
    </row>
    <row r="8" spans="2:12" s="6" customFormat="1">
      <c r="C8" s="137"/>
      <c r="D8" s="139"/>
      <c r="E8" s="305"/>
      <c r="F8" s="305"/>
      <c r="G8" s="305"/>
      <c r="H8" s="66"/>
      <c r="I8" s="66"/>
    </row>
    <row r="9" spans="2:12" s="6" customFormat="1">
      <c r="C9" s="137" t="s">
        <v>331</v>
      </c>
      <c r="D9" s="1102" t="s">
        <v>149</v>
      </c>
      <c r="E9" s="305" t="s">
        <v>150</v>
      </c>
      <c r="F9" s="305" t="s">
        <v>149</v>
      </c>
      <c r="G9" s="305"/>
      <c r="H9" s="66"/>
      <c r="I9" s="66"/>
    </row>
    <row r="10" spans="2:12" s="6" customFormat="1">
      <c r="D10" s="14"/>
      <c r="E10" s="8"/>
      <c r="F10" s="68"/>
      <c r="G10" s="8"/>
      <c r="I10" s="413"/>
      <c r="J10" s="437"/>
      <c r="K10" s="437"/>
      <c r="L10" s="137"/>
    </row>
    <row r="11" spans="2:12" s="6" customFormat="1">
      <c r="C11" s="6" t="s">
        <v>58</v>
      </c>
      <c r="D11" s="445">
        <f>INDEX('Cost Assumptions'!$D$12:$G$12,MATCH(Technology,'Cost Assumptions'!$D$1:$G$1,0))</f>
        <v>59.940000000000005</v>
      </c>
      <c r="E11" s="66"/>
      <c r="H11" s="66"/>
      <c r="I11" s="137"/>
      <c r="J11" s="412"/>
    </row>
    <row r="12" spans="2:12" s="6" customFormat="1">
      <c r="C12" s="137" t="s">
        <v>407</v>
      </c>
      <c r="D12" s="436">
        <f>INDEX('Unit Specifications'!$C$21:$F$21,MATCH(Technology,'Unit Specifications'!$C$1:$F$1,0))</f>
        <v>0.25</v>
      </c>
      <c r="E12" s="66"/>
      <c r="I12" s="137"/>
    </row>
    <row r="13" spans="2:12" s="6" customFormat="1">
      <c r="C13" s="137" t="s">
        <v>313</v>
      </c>
      <c r="D13" s="436">
        <f>INDEX('Unit Specifications'!$C$20:$F$20,MATCH(Technology,'Unit Specifications'!$C$1:$F$1,0))</f>
        <v>0.35</v>
      </c>
      <c r="E13" s="66"/>
      <c r="I13" s="137"/>
      <c r="J13" s="412"/>
    </row>
    <row r="14" spans="2:12" s="6" customFormat="1">
      <c r="C14" s="137"/>
      <c r="D14" s="436"/>
      <c r="E14" s="66"/>
      <c r="I14" s="137"/>
      <c r="J14" s="412"/>
    </row>
    <row r="15" spans="2:12" s="6" customFormat="1">
      <c r="C15" s="15" t="s">
        <v>74</v>
      </c>
      <c r="D15" s="1161">
        <f>'Construction Cashflows'!$G$26</f>
        <v>195.57413073893059</v>
      </c>
      <c r="E15" s="66"/>
      <c r="F15" s="66"/>
      <c r="G15" s="283"/>
      <c r="I15" s="137"/>
    </row>
    <row r="16" spans="2:12" s="6" customFormat="1">
      <c r="C16" s="15" t="s">
        <v>61</v>
      </c>
      <c r="D16" s="101">
        <f>$D$15*1000/Plant_Capacity</f>
        <v>3262.8316773261695</v>
      </c>
      <c r="E16" s="8"/>
      <c r="F16" s="101"/>
      <c r="G16" s="137"/>
      <c r="I16" s="137"/>
    </row>
    <row r="17" spans="2:7" s="6" customFormat="1">
      <c r="C17" s="15" t="s">
        <v>75</v>
      </c>
      <c r="D17" s="1161">
        <f>'Construction Cashflows'!$G$27*(1-ITC/2)</f>
        <v>187.83953236555047</v>
      </c>
      <c r="E17" s="66"/>
      <c r="F17" s="8"/>
      <c r="G17" s="8"/>
    </row>
    <row r="18" spans="2:7" s="6" customFormat="1">
      <c r="C18" s="15" t="s">
        <v>60</v>
      </c>
      <c r="D18" s="101">
        <f>$D$17*1000/Plant_Capacity</f>
        <v>3133.7926654245989</v>
      </c>
      <c r="E18" s="8"/>
      <c r="F18" s="8"/>
      <c r="G18" s="8"/>
    </row>
    <row r="19" spans="2:7" s="6" customFormat="1">
      <c r="C19" s="443" t="s">
        <v>300</v>
      </c>
      <c r="D19" s="1162">
        <f>'Construction Cashflows'!G25</f>
        <v>183.57499999999999</v>
      </c>
      <c r="E19" s="8"/>
      <c r="F19" s="8"/>
      <c r="G19" s="8"/>
    </row>
    <row r="20" spans="2:7" s="6" customFormat="1">
      <c r="C20" s="443" t="s">
        <v>375</v>
      </c>
      <c r="D20" s="101">
        <f>D19*1000/Plant_Capacity</f>
        <v>3062.6459793126455</v>
      </c>
      <c r="E20" s="490"/>
      <c r="F20" s="8"/>
      <c r="G20" s="8"/>
    </row>
    <row r="21" spans="2:7" s="6" customFormat="1">
      <c r="C21" s="443"/>
      <c r="D21" s="101"/>
      <c r="E21" s="490"/>
      <c r="F21" s="8"/>
      <c r="G21" s="8"/>
    </row>
    <row r="22" spans="2:7" s="6" customFormat="1">
      <c r="C22" s="443" t="s">
        <v>318</v>
      </c>
      <c r="D22" s="1160">
        <f>INDEX('Annual Updates Calcs'!$M$85:$P$85,MATCH(Technology,'Annual Updates Calcs'!$M$1:$P$1,0))</f>
        <v>79.39606272939605</v>
      </c>
      <c r="E22" s="477"/>
      <c r="F22" s="8"/>
      <c r="G22" s="8"/>
    </row>
    <row r="23" spans="2:7" s="6" customFormat="1">
      <c r="D23" s="7"/>
      <c r="E23" s="8"/>
      <c r="F23" s="8"/>
      <c r="G23" s="8"/>
    </row>
    <row r="24" spans="2:7" s="3" customFormat="1" ht="15.75">
      <c r="B24" s="3">
        <v>2</v>
      </c>
      <c r="C24" s="3" t="s">
        <v>1</v>
      </c>
      <c r="D24" s="4"/>
      <c r="E24" s="5"/>
      <c r="F24" s="5"/>
      <c r="G24" s="5"/>
    </row>
    <row r="25" spans="2:7" s="6" customFormat="1">
      <c r="D25" s="7"/>
      <c r="E25" s="8"/>
      <c r="F25" s="8"/>
      <c r="G25" s="8"/>
    </row>
    <row r="26" spans="2:7" s="6" customFormat="1">
      <c r="C26" s="6" t="s">
        <v>2</v>
      </c>
      <c r="D26" s="139">
        <v>20</v>
      </c>
      <c r="E26" s="8"/>
      <c r="F26" s="8"/>
      <c r="G26" s="8"/>
    </row>
    <row r="27" spans="2:7" s="6" customFormat="1">
      <c r="C27" s="6" t="s">
        <v>6</v>
      </c>
      <c r="D27" s="599" t="str">
        <f>INDEX('Cost Assumptions'!$D$42:$G$42,MATCH(Technology,'Cost Assumptions'!$D$1:$G$1,0))</f>
        <v>5yr MACRS</v>
      </c>
      <c r="E27" s="67"/>
      <c r="F27" s="67"/>
      <c r="G27" s="67"/>
    </row>
    <row r="28" spans="2:7" s="6" customFormat="1">
      <c r="C28" s="137" t="s">
        <v>860</v>
      </c>
      <c r="D28" s="599" t="str">
        <f>INDEX('Cost Assumptions'!$D$43:$G$43,MATCH(Technology,'Cost Assumptions'!$D$1:$G$1,0))</f>
        <v>PTC</v>
      </c>
      <c r="E28" s="67"/>
      <c r="F28" s="67"/>
      <c r="G28" s="67"/>
    </row>
    <row r="29" spans="2:7" s="6" customFormat="1">
      <c r="C29" s="137" t="s">
        <v>315</v>
      </c>
      <c r="D29" s="1191">
        <f>INDEX('Revenue Offsets'!$D$25:$G$25,MATCH(Technology,'Revenue Offsets'!$D$1:$G$1,0))</f>
        <v>25.706586949621773</v>
      </c>
      <c r="E29" s="8"/>
      <c r="F29" s="8"/>
      <c r="G29" s="8"/>
    </row>
    <row r="30" spans="2:7" s="6" customFormat="1">
      <c r="C30" s="137" t="s">
        <v>861</v>
      </c>
      <c r="D30" s="1154">
        <f>IF(D28="ITC",30%,0)</f>
        <v>0</v>
      </c>
      <c r="E30" s="8"/>
      <c r="F30" s="8"/>
      <c r="G30" s="8"/>
    </row>
    <row r="31" spans="2:7" s="6" customFormat="1">
      <c r="D31" s="139"/>
      <c r="E31" s="8"/>
      <c r="F31" s="8"/>
      <c r="G31" s="8"/>
    </row>
    <row r="32" spans="2:7" s="6" customFormat="1">
      <c r="C32" s="137" t="s">
        <v>336</v>
      </c>
      <c r="D32" s="1192">
        <f>INDEX('Revenue Offsets'!$D$23:$G$23,MATCH(Technology,'Revenue Offsets'!$D$1:$G$1,0))</f>
        <v>14.935849393498408</v>
      </c>
      <c r="E32" s="8"/>
      <c r="F32" s="8"/>
      <c r="G32" s="8"/>
    </row>
    <row r="33" spans="3:32" s="6" customFormat="1">
      <c r="C33" s="137" t="s">
        <v>322</v>
      </c>
      <c r="D33" s="1192">
        <f>INDEX('Revenue Offsets'!$D$24:$G$24,MATCH(Technology,'Revenue Offsets'!$D$1:$G$1,0))</f>
        <v>49.29736508937151</v>
      </c>
      <c r="E33" s="8"/>
      <c r="F33" s="8"/>
      <c r="G33" s="8"/>
    </row>
    <row r="34" spans="3:32" s="6" customFormat="1">
      <c r="C34" s="137" t="s">
        <v>335</v>
      </c>
      <c r="D34" s="1191">
        <f>INDEX('Revenue Offsets'!$D$26:$G$26,MATCH(Technology,'Revenue Offsets'!$D$1:$G$1,0))</f>
        <v>0</v>
      </c>
      <c r="E34" s="8"/>
      <c r="F34" s="8"/>
      <c r="G34" s="8"/>
    </row>
    <row r="35" spans="3:32" s="6" customFormat="1">
      <c r="D35" s="139"/>
      <c r="E35" s="8"/>
      <c r="F35" s="8"/>
      <c r="G35" s="8"/>
    </row>
    <row r="36" spans="3:32" s="6" customFormat="1">
      <c r="C36" s="6" t="s">
        <v>3</v>
      </c>
      <c r="D36" s="357">
        <v>0.5</v>
      </c>
      <c r="E36" s="8"/>
      <c r="F36" s="8"/>
      <c r="G36" s="8"/>
    </row>
    <row r="37" spans="3:32" s="6" customFormat="1">
      <c r="C37" s="6" t="s">
        <v>4</v>
      </c>
      <c r="D37" s="357">
        <v>5.1999999999999998E-2</v>
      </c>
      <c r="E37" s="613"/>
      <c r="F37" s="39"/>
      <c r="G37" s="613"/>
      <c r="H37" s="357"/>
      <c r="I37" s="39"/>
      <c r="J37" s="39"/>
      <c r="K37" s="39"/>
    </row>
    <row r="38" spans="3:32" s="6" customFormat="1">
      <c r="C38" s="6" t="s">
        <v>5</v>
      </c>
      <c r="D38" s="357">
        <v>0.113</v>
      </c>
      <c r="E38" s="8"/>
      <c r="F38" s="8"/>
      <c r="G38" s="8"/>
      <c r="L38" s="122"/>
      <c r="M38" s="123"/>
      <c r="N38" s="123"/>
      <c r="O38" s="123"/>
      <c r="P38" s="123"/>
      <c r="Q38" s="123"/>
      <c r="R38" s="123"/>
      <c r="S38" s="123"/>
      <c r="T38" s="123"/>
      <c r="U38" s="123"/>
      <c r="V38" s="123"/>
      <c r="W38" s="123"/>
      <c r="X38" s="123"/>
      <c r="Y38" s="123"/>
      <c r="Z38" s="123"/>
      <c r="AA38" s="123"/>
      <c r="AB38" s="123"/>
      <c r="AC38" s="123"/>
      <c r="AD38" s="123"/>
      <c r="AE38" s="123"/>
      <c r="AF38" s="123"/>
    </row>
    <row r="39" spans="3:32" s="6" customFormat="1">
      <c r="C39" s="29" t="s">
        <v>44</v>
      </c>
      <c r="D39" s="357">
        <v>0.35</v>
      </c>
      <c r="E39" s="8"/>
      <c r="F39" s="8"/>
      <c r="G39" s="8"/>
      <c r="L39" s="122"/>
      <c r="M39" s="123"/>
      <c r="N39" s="123"/>
      <c r="O39" s="123"/>
      <c r="P39" s="123"/>
      <c r="Q39" s="123"/>
      <c r="R39" s="123"/>
      <c r="S39" s="123"/>
      <c r="T39" s="123"/>
      <c r="U39" s="123"/>
      <c r="V39" s="123"/>
      <c r="W39" s="123"/>
      <c r="X39" s="123"/>
      <c r="Y39" s="123"/>
      <c r="Z39" s="123"/>
      <c r="AA39" s="123"/>
      <c r="AB39" s="123"/>
      <c r="AC39" s="123"/>
      <c r="AD39" s="123"/>
      <c r="AE39" s="123"/>
      <c r="AF39" s="123"/>
    </row>
    <row r="40" spans="3:32" s="6" customFormat="1">
      <c r="C40" s="29" t="s">
        <v>45</v>
      </c>
      <c r="D40" s="1199">
        <f>INDEX('Cost Assumptions'!$D$34:$G$34,MATCH(Technology,'Cost Assumptions'!$D$1:$G$1,0))</f>
        <v>8.9300000000000004E-2</v>
      </c>
      <c r="E40" s="8"/>
      <c r="F40" s="8"/>
      <c r="G40" s="8"/>
    </row>
    <row r="41" spans="3:32" s="6" customFormat="1">
      <c r="C41" s="29" t="s">
        <v>59</v>
      </c>
      <c r="D41" s="11">
        <v>0.40500000000000003</v>
      </c>
      <c r="E41" s="8"/>
      <c r="F41" s="8"/>
      <c r="G41" s="8"/>
    </row>
    <row r="42" spans="3:32" s="6" customFormat="1">
      <c r="C42" s="6" t="s">
        <v>17</v>
      </c>
      <c r="D42" s="479">
        <v>2.2499999999999999E-2</v>
      </c>
      <c r="E42" s="8"/>
      <c r="F42" s="8"/>
      <c r="G42" s="8"/>
    </row>
    <row r="43" spans="3:32" s="6" customFormat="1">
      <c r="C43" s="137" t="s">
        <v>159</v>
      </c>
      <c r="D43" s="479">
        <v>2.2499999999999999E-2</v>
      </c>
      <c r="E43" s="8"/>
      <c r="F43" s="8"/>
      <c r="G43" s="8"/>
    </row>
    <row r="44" spans="3:32" s="9" customFormat="1">
      <c r="C44" s="10" t="s">
        <v>18</v>
      </c>
      <c r="D44" s="11">
        <f>Equity_Rate*(1-Debt_Fraction)+Debt_Rate*Debt_Fraction*(1-Tax_Rate)</f>
        <v>7.1970000000000006E-2</v>
      </c>
      <c r="E44" s="12"/>
      <c r="F44" s="12"/>
      <c r="G44" s="12"/>
    </row>
    <row r="45" spans="3:32" s="9" customFormat="1">
      <c r="C45" s="10" t="s">
        <v>19</v>
      </c>
      <c r="D45" s="13">
        <f>(1+ATWACC)/(1+Inflation)-1</f>
        <v>4.8381418092909634E-2</v>
      </c>
      <c r="E45" s="12"/>
      <c r="F45" s="12"/>
      <c r="G45" s="12"/>
    </row>
    <row r="46" spans="3:32" s="9" customFormat="1">
      <c r="C46" s="10"/>
      <c r="D46" s="13"/>
      <c r="E46" s="12"/>
      <c r="F46" s="12"/>
      <c r="G46" s="12"/>
    </row>
    <row r="47" spans="3:32" s="9" customFormat="1">
      <c r="C47" s="15" t="s">
        <v>20</v>
      </c>
      <c r="D47" s="357">
        <f>Debt_Rate</f>
        <v>5.1999999999999998E-2</v>
      </c>
      <c r="E47" s="12"/>
      <c r="F47" s="12"/>
      <c r="G47" s="12"/>
    </row>
    <row r="48" spans="3:32" s="6" customFormat="1">
      <c r="C48" s="6" t="s">
        <v>73</v>
      </c>
      <c r="D48" s="358">
        <f>Debt_Fraction</f>
        <v>0.5</v>
      </c>
      <c r="E48" s="8"/>
    </row>
    <row r="49" spans="2:54" s="6" customFormat="1">
      <c r="D49" s="358"/>
      <c r="E49" s="8"/>
    </row>
    <row r="50" spans="2:54" s="6" customFormat="1">
      <c r="D50" s="8"/>
      <c r="E50" s="8"/>
    </row>
    <row r="51" spans="2:54">
      <c r="D51" s="17"/>
      <c r="E51" s="17"/>
    </row>
    <row r="52" spans="2:54" s="1" customFormat="1" ht="25.5">
      <c r="B52" s="2" t="s">
        <v>21</v>
      </c>
      <c r="C52" s="2"/>
    </row>
    <row r="53" spans="2:54">
      <c r="D53" s="17"/>
      <c r="E53" s="17"/>
    </row>
    <row r="54" spans="2:54" s="18" customFormat="1">
      <c r="C54" s="18" t="s">
        <v>55</v>
      </c>
    </row>
    <row r="55" spans="2:54" s="57" customFormat="1" ht="4.5" customHeight="1">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row>
    <row r="56" spans="2:54" s="57" customFormat="1">
      <c r="B56" s="18"/>
      <c r="C56" s="18"/>
      <c r="D56" s="124" t="s">
        <v>54</v>
      </c>
      <c r="E56" s="304">
        <f>(1+ATWACC)/(1+Escalation_Rate)-1</f>
        <v>4.8381418092909634E-2</v>
      </c>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row>
    <row r="57" spans="2:54" s="57" customFormat="1" ht="4.5" customHeight="1" thickBot="1">
      <c r="B57" s="18"/>
      <c r="C57" s="103"/>
      <c r="D57" s="104"/>
      <c r="E57" s="105"/>
      <c r="F57" s="105"/>
      <c r="G57" s="105"/>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row>
    <row r="58" spans="2:54" s="57" customFormat="1" ht="26.25" thickTop="1">
      <c r="B58" s="18"/>
      <c r="C58" s="1348" t="s">
        <v>87</v>
      </c>
      <c r="D58" s="106" t="s">
        <v>47</v>
      </c>
      <c r="E58" s="107" t="s">
        <v>62</v>
      </c>
      <c r="F58" s="107" t="s">
        <v>62</v>
      </c>
      <c r="G58" s="107" t="s">
        <v>62</v>
      </c>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row>
    <row r="59" spans="2:54" s="57" customFormat="1">
      <c r="B59" s="18"/>
      <c r="C59" s="1348"/>
      <c r="D59" s="107" t="s">
        <v>53</v>
      </c>
      <c r="E59" s="107" t="s">
        <v>52</v>
      </c>
      <c r="F59" s="107" t="s">
        <v>52</v>
      </c>
      <c r="G59" s="107" t="s">
        <v>52</v>
      </c>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row>
    <row r="60" spans="2:54" s="43" customFormat="1">
      <c r="B60" s="9"/>
      <c r="C60" s="108"/>
      <c r="D60" s="109" t="s">
        <v>46</v>
      </c>
      <c r="E60" s="109" t="s">
        <v>49</v>
      </c>
      <c r="F60" s="110" t="s">
        <v>48</v>
      </c>
      <c r="G60" s="110" t="s">
        <v>215</v>
      </c>
      <c r="H60" s="18"/>
      <c r="I60" s="18"/>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row>
    <row r="61" spans="2:54" s="43" customFormat="1" ht="4.5" customHeight="1">
      <c r="B61" s="9"/>
      <c r="C61" s="111"/>
      <c r="D61" s="112"/>
      <c r="E61" s="112"/>
      <c r="F61" s="113"/>
      <c r="G61" s="113"/>
      <c r="H61" s="18"/>
      <c r="I61" s="18"/>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row>
    <row r="62" spans="2:54" s="43" customFormat="1">
      <c r="B62" s="9"/>
      <c r="C62" s="114" t="s">
        <v>88</v>
      </c>
      <c r="D62" s="313">
        <f>Plant_Capacity*Installed_Cost/10^3</f>
        <v>195.57413073893059</v>
      </c>
      <c r="E62" s="313">
        <f>-PMT(E$56,Economic_Life,$D62,0,1)*(1+ATWACC)^0.5/(1-Tax_Rate)</f>
        <v>25.691538403528039</v>
      </c>
      <c r="F62" s="313">
        <f>E62/Plant_Capacity*10^3</f>
        <v>428.62092765312036</v>
      </c>
      <c r="G62" s="313">
        <f>$F62/12</f>
        <v>35.71841063776003</v>
      </c>
      <c r="H62" s="460"/>
      <c r="I62" s="18"/>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row>
    <row r="63" spans="2:54" s="43" customFormat="1">
      <c r="B63" s="9"/>
      <c r="C63" s="114" t="s">
        <v>89</v>
      </c>
      <c r="D63" s="313">
        <f>(1-Tax_Rate)*NPV(ATWACC,$E$93:$BB$93)*(1+ATWACC)^0.5</f>
        <v>36.227386370088269</v>
      </c>
      <c r="E63" s="313">
        <f>-PMT(E$56,Economic_Life,$D63,0,1)*(1+ATWACC)^0.5/(1-Tax_Rate)</f>
        <v>4.7590000000000012</v>
      </c>
      <c r="F63" s="313">
        <f>E63/Plant_Capacity*10^3</f>
        <v>79.396062729396078</v>
      </c>
      <c r="G63" s="313">
        <f>$F63/12</f>
        <v>6.6163385607830065</v>
      </c>
      <c r="H63" s="451"/>
      <c r="I63" s="18"/>
      <c r="J63" s="9"/>
      <c r="K63" s="9"/>
      <c r="L63" s="9"/>
      <c r="M63" s="9"/>
      <c r="N63" s="9"/>
      <c r="O63" s="9"/>
      <c r="P63" s="9"/>
      <c r="Q63" s="9"/>
      <c r="R63" s="9"/>
      <c r="S63" s="439"/>
      <c r="T63" s="43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row>
    <row r="64" spans="2:54" s="43" customFormat="1">
      <c r="B64" s="9"/>
      <c r="C64" s="114" t="s">
        <v>111</v>
      </c>
      <c r="D64" s="313">
        <f>-(NPV(ATWACC,$E$99:$BB$99)+NPV(ATWACC,$E$100:$BB$100))*(1+ATWACC)^0.5</f>
        <v>-34.043796594438163</v>
      </c>
      <c r="E64" s="313">
        <f>-PMT(E$56,Economic_Life,$D64,0,1)*(1+ATWACC)^0.5/(1-Tax_Rate)</f>
        <v>-4.4721533686653459</v>
      </c>
      <c r="F64" s="313">
        <f>E64/Plant_Capacity*10^3</f>
        <v>-74.610499977733483</v>
      </c>
      <c r="G64" s="313">
        <f>$F64/12</f>
        <v>-6.2175416648111232</v>
      </c>
      <c r="H64" s="1203"/>
      <c r="I64" s="18"/>
      <c r="J64" s="9"/>
      <c r="K64" s="9"/>
      <c r="L64" s="9"/>
      <c r="M64" s="9"/>
      <c r="N64" s="9"/>
      <c r="O64" s="9"/>
      <c r="P64" s="9"/>
      <c r="Q64" s="9"/>
      <c r="R64" s="9"/>
      <c r="S64" s="439"/>
      <c r="T64" s="43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row>
    <row r="65" spans="2:54" s="43" customFormat="1">
      <c r="B65" s="9"/>
      <c r="C65" s="114" t="s">
        <v>90</v>
      </c>
      <c r="D65" s="313">
        <f>-Tax_Rate*NPV(ATWACC,$E$96:$BB$96)*(1+ATWACC)^0.5</f>
        <v>-66.923341569651399</v>
      </c>
      <c r="E65" s="313">
        <f>-PMT(E$56,Economic_Life,$D65,0,1)*(1+ATWACC)^0.5/(1-Tax_Rate)</f>
        <v>-8.7913651643646045</v>
      </c>
      <c r="F65" s="313">
        <f>E65/Plant_Capacity*10^3</f>
        <v>-146.66942216157165</v>
      </c>
      <c r="G65" s="313">
        <f>$F65/12</f>
        <v>-12.222451846797638</v>
      </c>
      <c r="H65" s="597"/>
      <c r="I65" s="18"/>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row>
    <row r="66" spans="2:54" s="43" customFormat="1" ht="4.5" customHeight="1">
      <c r="B66" s="9"/>
      <c r="C66" s="115"/>
      <c r="D66" s="752"/>
      <c r="E66" s="752"/>
      <c r="F66" s="752"/>
      <c r="G66" s="116"/>
      <c r="H66" s="451"/>
      <c r="I66" s="18"/>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row>
    <row r="67" spans="2:54" s="57" customFormat="1">
      <c r="B67" s="18"/>
      <c r="C67" s="117" t="s">
        <v>328</v>
      </c>
      <c r="D67" s="753">
        <f>SUM(D62:D65)</f>
        <v>130.83437894492928</v>
      </c>
      <c r="E67" s="753">
        <f>SUM(E62:E65)</f>
        <v>17.187019870498091</v>
      </c>
      <c r="F67" s="753">
        <f>SUM(F62:F65)</f>
        <v>286.7370682432113</v>
      </c>
      <c r="G67" s="753">
        <f>SUM(G62:G65)</f>
        <v>23.894755686934275</v>
      </c>
      <c r="H67" s="451"/>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row>
    <row r="68" spans="2:54" s="57" customFormat="1" ht="4.5" customHeight="1">
      <c r="B68" s="18"/>
      <c r="C68" s="118"/>
      <c r="D68" s="754"/>
      <c r="E68" s="755"/>
      <c r="F68" s="441"/>
      <c r="G68" s="121"/>
      <c r="H68" s="451"/>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row>
    <row r="69" spans="2:54" s="43" customFormat="1">
      <c r="B69" s="9"/>
      <c r="C69" s="137" t="s">
        <v>317</v>
      </c>
      <c r="D69" s="756" t="s">
        <v>152</v>
      </c>
      <c r="E69" s="313">
        <f>F69*Plant_Capacity/10^3</f>
        <v>10.743057751755536</v>
      </c>
      <c r="F69" s="313">
        <f>G69*12</f>
        <v>179.2301927219809</v>
      </c>
      <c r="G69" s="313">
        <f>EAS</f>
        <v>14.935849393498408</v>
      </c>
      <c r="H69" s="451"/>
      <c r="I69" s="1270"/>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row>
    <row r="70" spans="2:54" s="43" customFormat="1">
      <c r="B70" s="9"/>
      <c r="C70" s="134" t="s">
        <v>109</v>
      </c>
      <c r="D70" s="756" t="s">
        <v>152</v>
      </c>
      <c r="E70" s="313">
        <f>IF($D$33&gt;0,$D$33*Plant_Capacity*8760*$D$13/10^6,0)</f>
        <v>9.0596745385589426</v>
      </c>
      <c r="F70" s="313">
        <f>E70/Plant_Capacity*10^3</f>
        <v>151.14572136401304</v>
      </c>
      <c r="G70" s="313">
        <f>$F70/12</f>
        <v>12.595476780334421</v>
      </c>
      <c r="H70" s="451"/>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row>
    <row r="71" spans="2:54" s="43" customFormat="1">
      <c r="B71" s="9"/>
      <c r="C71" s="134" t="s">
        <v>331</v>
      </c>
      <c r="D71" s="756" t="s">
        <v>152</v>
      </c>
      <c r="E71" s="313">
        <f>F71*Plant_Capacity*D12/10^3</f>
        <v>0</v>
      </c>
      <c r="F71" s="313">
        <f>G71*12</f>
        <v>0</v>
      </c>
      <c r="G71" s="313">
        <f>IF(D9="Yes",Perf_Inc,0)</f>
        <v>0</v>
      </c>
      <c r="H71" s="451"/>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row>
    <row r="72" spans="2:54" s="43" customFormat="1" ht="4.5" customHeight="1">
      <c r="B72" s="9"/>
      <c r="C72" s="115"/>
      <c r="D72" s="116"/>
      <c r="E72" s="116"/>
      <c r="F72" s="116"/>
      <c r="G72" s="116"/>
      <c r="H72" s="451"/>
      <c r="I72" s="18"/>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row>
    <row r="73" spans="2:54" s="57" customFormat="1">
      <c r="B73" s="18"/>
      <c r="C73" s="117" t="s">
        <v>296</v>
      </c>
      <c r="D73" s="484" t="s">
        <v>152</v>
      </c>
      <c r="E73" s="753">
        <f>SUM(E68:E71)</f>
        <v>19.802732290314481</v>
      </c>
      <c r="F73" s="753">
        <f>SUM(F68:F71)</f>
        <v>330.37591408599394</v>
      </c>
      <c r="G73" s="753">
        <f>SUM(G68:G71)</f>
        <v>27.531326173832831</v>
      </c>
      <c r="H73" s="451"/>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row>
    <row r="74" spans="2:54" s="57" customFormat="1" ht="4.5" customHeight="1">
      <c r="B74" s="18"/>
      <c r="C74" s="118"/>
      <c r="D74" s="119"/>
      <c r="E74" s="120"/>
      <c r="F74" s="121"/>
      <c r="G74" s="121"/>
      <c r="H74" s="451"/>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row>
    <row r="75" spans="2:54" s="43" customFormat="1" ht="13.5" thickBot="1">
      <c r="B75" s="9"/>
      <c r="C75" s="121" t="s">
        <v>865</v>
      </c>
      <c r="D75" s="484" t="s">
        <v>152</v>
      </c>
      <c r="E75" s="441">
        <f>E67-E73</f>
        <v>-2.6157124198163899</v>
      </c>
      <c r="F75" s="441">
        <f>F67-F73</f>
        <v>-43.638845842782644</v>
      </c>
      <c r="G75" s="441">
        <f>G67-G73</f>
        <v>-3.636570486898556</v>
      </c>
      <c r="H75" s="451"/>
      <c r="I75" s="442" t="s">
        <v>213</v>
      </c>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row>
    <row r="76" spans="2:54" s="43" customFormat="1" ht="13.5" thickBot="1">
      <c r="B76" s="9"/>
      <c r="C76" s="121" t="s">
        <v>899</v>
      </c>
      <c r="D76" s="484"/>
      <c r="E76" s="441">
        <f>E75/$D$12</f>
        <v>-10.46284967926556</v>
      </c>
      <c r="F76" s="441">
        <f>F75/$D$12</f>
        <v>-174.55538337113057</v>
      </c>
      <c r="G76" s="441">
        <f>G75/$D$12</f>
        <v>-14.546281947594224</v>
      </c>
      <c r="H76" s="451"/>
      <c r="I76" s="1231">
        <f>IF(G76&lt;0,0,G76)</f>
        <v>0</v>
      </c>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row>
    <row r="77" spans="2:54" s="6" customFormat="1" ht="3.75" customHeight="1" thickBot="1">
      <c r="C77" s="21"/>
      <c r="D77" s="21"/>
      <c r="E77" s="21"/>
      <c r="F77" s="21"/>
      <c r="G77" s="21"/>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row>
    <row r="78" spans="2:54" s="6" customFormat="1" ht="3.75" customHeight="1" thickTop="1">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row>
    <row r="79" spans="2:54" s="6" customFormat="1" ht="20.25">
      <c r="C79" s="20" t="s">
        <v>235</v>
      </c>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row>
    <row r="80" spans="2:54" s="21" customFormat="1" ht="3.75" customHeight="1" thickBot="1"/>
    <row r="81" spans="1:54" s="19" customFormat="1" ht="13.5" thickTop="1">
      <c r="C81" s="38" t="s">
        <v>22</v>
      </c>
      <c r="D81" s="36" t="s">
        <v>51</v>
      </c>
      <c r="E81" s="35" t="s">
        <v>50</v>
      </c>
      <c r="F81" s="35" t="s">
        <v>50</v>
      </c>
      <c r="G81" s="35" t="s">
        <v>50</v>
      </c>
      <c r="H81" s="35" t="s">
        <v>50</v>
      </c>
      <c r="I81" s="35" t="s">
        <v>50</v>
      </c>
      <c r="J81" s="35" t="s">
        <v>50</v>
      </c>
      <c r="K81" s="35" t="s">
        <v>50</v>
      </c>
      <c r="L81" s="35" t="s">
        <v>50</v>
      </c>
      <c r="M81" s="35" t="s">
        <v>50</v>
      </c>
      <c r="N81" s="35" t="s">
        <v>50</v>
      </c>
      <c r="O81" s="35" t="s">
        <v>50</v>
      </c>
      <c r="P81" s="35" t="s">
        <v>50</v>
      </c>
      <c r="Q81" s="35" t="s">
        <v>50</v>
      </c>
      <c r="R81" s="35" t="s">
        <v>50</v>
      </c>
      <c r="S81" s="35" t="s">
        <v>50</v>
      </c>
      <c r="T81" s="35" t="s">
        <v>50</v>
      </c>
      <c r="U81" s="35" t="s">
        <v>50</v>
      </c>
      <c r="V81" s="35" t="s">
        <v>50</v>
      </c>
      <c r="W81" s="35" t="s">
        <v>50</v>
      </c>
      <c r="X81" s="35" t="s">
        <v>50</v>
      </c>
      <c r="Y81" s="35" t="s">
        <v>50</v>
      </c>
      <c r="Z81" s="35" t="s">
        <v>50</v>
      </c>
      <c r="AA81" s="35" t="s">
        <v>50</v>
      </c>
      <c r="AB81" s="35" t="s">
        <v>50</v>
      </c>
      <c r="AC81" s="35" t="s">
        <v>50</v>
      </c>
      <c r="AD81" s="35" t="s">
        <v>50</v>
      </c>
      <c r="AE81" s="35" t="s">
        <v>50</v>
      </c>
      <c r="AF81" s="35" t="s">
        <v>50</v>
      </c>
      <c r="AG81" s="35" t="s">
        <v>50</v>
      </c>
      <c r="AH81" s="35" t="s">
        <v>50</v>
      </c>
      <c r="AI81" s="35" t="s">
        <v>50</v>
      </c>
      <c r="AJ81" s="35" t="s">
        <v>50</v>
      </c>
      <c r="AK81" s="35" t="s">
        <v>50</v>
      </c>
      <c r="AL81" s="35" t="s">
        <v>50</v>
      </c>
      <c r="AM81" s="35" t="s">
        <v>50</v>
      </c>
      <c r="AN81" s="35" t="s">
        <v>50</v>
      </c>
      <c r="AO81" s="35" t="s">
        <v>50</v>
      </c>
      <c r="AP81" s="35" t="s">
        <v>50</v>
      </c>
      <c r="AQ81" s="35" t="s">
        <v>50</v>
      </c>
      <c r="AR81" s="35" t="s">
        <v>50</v>
      </c>
      <c r="AS81" s="35" t="s">
        <v>50</v>
      </c>
      <c r="AT81" s="35" t="s">
        <v>50</v>
      </c>
      <c r="AU81" s="35" t="s">
        <v>50</v>
      </c>
      <c r="AV81" s="35" t="s">
        <v>50</v>
      </c>
      <c r="AW81" s="35" t="s">
        <v>50</v>
      </c>
      <c r="AX81" s="35" t="s">
        <v>50</v>
      </c>
      <c r="AY81" s="35" t="s">
        <v>50</v>
      </c>
      <c r="AZ81" s="35" t="s">
        <v>50</v>
      </c>
      <c r="BA81" s="35" t="s">
        <v>50</v>
      </c>
      <c r="BB81" s="35" t="s">
        <v>50</v>
      </c>
    </row>
    <row r="82" spans="1:54" s="22" customFormat="1">
      <c r="D82" s="37">
        <v>0</v>
      </c>
      <c r="E82" s="22">
        <v>1</v>
      </c>
      <c r="F82" s="22">
        <v>2</v>
      </c>
      <c r="G82" s="22">
        <v>3</v>
      </c>
      <c r="H82" s="22">
        <v>4</v>
      </c>
      <c r="I82" s="22">
        <v>5</v>
      </c>
      <c r="J82" s="22">
        <v>6</v>
      </c>
      <c r="K82" s="22">
        <v>7</v>
      </c>
      <c r="L82" s="22">
        <v>8</v>
      </c>
      <c r="M82" s="22">
        <v>9</v>
      </c>
      <c r="N82" s="22">
        <v>10</v>
      </c>
      <c r="O82" s="22">
        <v>11</v>
      </c>
      <c r="P82" s="22">
        <v>12</v>
      </c>
      <c r="Q82" s="22">
        <v>13</v>
      </c>
      <c r="R82" s="22">
        <v>14</v>
      </c>
      <c r="S82" s="22">
        <v>15</v>
      </c>
      <c r="T82" s="22">
        <v>16</v>
      </c>
      <c r="U82" s="22">
        <v>17</v>
      </c>
      <c r="V82" s="22">
        <v>18</v>
      </c>
      <c r="W82" s="22">
        <v>19</v>
      </c>
      <c r="X82" s="22">
        <v>20</v>
      </c>
      <c r="Y82" s="22">
        <v>21</v>
      </c>
      <c r="Z82" s="22">
        <v>22</v>
      </c>
      <c r="AA82" s="22">
        <v>23</v>
      </c>
      <c r="AB82" s="22">
        <v>24</v>
      </c>
      <c r="AC82" s="22">
        <v>25</v>
      </c>
      <c r="AD82" s="22">
        <v>26</v>
      </c>
      <c r="AE82" s="22">
        <v>27</v>
      </c>
      <c r="AF82" s="22">
        <v>28</v>
      </c>
      <c r="AG82" s="22">
        <v>29</v>
      </c>
      <c r="AH82" s="22">
        <v>30</v>
      </c>
      <c r="AI82" s="22">
        <v>31</v>
      </c>
      <c r="AJ82" s="22">
        <v>32</v>
      </c>
      <c r="AK82" s="22">
        <v>33</v>
      </c>
      <c r="AL82" s="22">
        <v>34</v>
      </c>
      <c r="AM82" s="22">
        <v>35</v>
      </c>
      <c r="AN82" s="22">
        <v>36</v>
      </c>
      <c r="AO82" s="22">
        <v>37</v>
      </c>
      <c r="AP82" s="22">
        <v>38</v>
      </c>
      <c r="AQ82" s="22">
        <v>39</v>
      </c>
      <c r="AR82" s="22">
        <v>40</v>
      </c>
      <c r="AS82" s="22">
        <v>41</v>
      </c>
      <c r="AT82" s="22">
        <v>42</v>
      </c>
      <c r="AU82" s="22">
        <v>43</v>
      </c>
      <c r="AV82" s="22">
        <v>44</v>
      </c>
      <c r="AW82" s="22">
        <v>45</v>
      </c>
      <c r="AX82" s="22">
        <v>46</v>
      </c>
      <c r="AY82" s="22">
        <v>47</v>
      </c>
      <c r="AZ82" s="22">
        <v>48</v>
      </c>
      <c r="BA82" s="22">
        <v>49</v>
      </c>
      <c r="BB82" s="22">
        <v>50</v>
      </c>
    </row>
    <row r="83" spans="1:54" s="6" customFormat="1"/>
    <row r="84" spans="1:54" s="481" customFormat="1">
      <c r="A84" s="137"/>
      <c r="B84" s="137"/>
      <c r="C84" s="137" t="s">
        <v>319</v>
      </c>
      <c r="D84" s="137"/>
      <c r="E84" s="480">
        <f>E69</f>
        <v>10.743057751755536</v>
      </c>
      <c r="F84" s="485">
        <v>0</v>
      </c>
      <c r="G84" s="485">
        <v>0</v>
      </c>
      <c r="H84" s="485">
        <v>0</v>
      </c>
      <c r="I84" s="485">
        <v>0</v>
      </c>
      <c r="J84" s="485">
        <v>0</v>
      </c>
      <c r="K84" s="485">
        <v>0</v>
      </c>
      <c r="L84" s="485">
        <v>0</v>
      </c>
      <c r="M84" s="485">
        <v>0</v>
      </c>
      <c r="N84" s="485">
        <v>0</v>
      </c>
      <c r="O84" s="485">
        <v>0</v>
      </c>
      <c r="P84" s="485">
        <v>0</v>
      </c>
      <c r="Q84" s="485">
        <v>0</v>
      </c>
      <c r="R84" s="485">
        <v>0</v>
      </c>
      <c r="S84" s="485">
        <v>0</v>
      </c>
      <c r="T84" s="485">
        <v>0</v>
      </c>
      <c r="U84" s="485">
        <v>0</v>
      </c>
      <c r="V84" s="485">
        <v>0</v>
      </c>
      <c r="W84" s="485">
        <v>0</v>
      </c>
      <c r="X84" s="485">
        <v>0</v>
      </c>
      <c r="Y84" s="485">
        <v>0</v>
      </c>
      <c r="Z84" s="485">
        <v>0</v>
      </c>
      <c r="AA84" s="485">
        <v>0</v>
      </c>
      <c r="AB84" s="485">
        <v>0</v>
      </c>
      <c r="AC84" s="485">
        <v>0</v>
      </c>
      <c r="AD84" s="485">
        <v>0</v>
      </c>
      <c r="AE84" s="485">
        <v>0</v>
      </c>
      <c r="AF84" s="485">
        <v>0</v>
      </c>
      <c r="AG84" s="485">
        <v>0</v>
      </c>
      <c r="AH84" s="485">
        <v>0</v>
      </c>
      <c r="AI84" s="485">
        <v>0</v>
      </c>
      <c r="AJ84" s="485">
        <v>0</v>
      </c>
      <c r="AK84" s="485">
        <v>0</v>
      </c>
      <c r="AL84" s="485">
        <v>0</v>
      </c>
      <c r="AM84" s="485">
        <v>0</v>
      </c>
      <c r="AN84" s="485">
        <v>0</v>
      </c>
      <c r="AO84" s="485">
        <v>0</v>
      </c>
      <c r="AP84" s="485">
        <v>0</v>
      </c>
      <c r="AQ84" s="485">
        <v>0</v>
      </c>
      <c r="AR84" s="485">
        <v>0</v>
      </c>
      <c r="AS84" s="485">
        <v>0</v>
      </c>
      <c r="AT84" s="485">
        <v>0</v>
      </c>
      <c r="AU84" s="485">
        <v>0</v>
      </c>
      <c r="AV84" s="485">
        <v>0</v>
      </c>
      <c r="AW84" s="485">
        <v>0</v>
      </c>
      <c r="AX84" s="485">
        <v>0</v>
      </c>
      <c r="AY84" s="485">
        <v>0</v>
      </c>
      <c r="AZ84" s="485">
        <v>0</v>
      </c>
      <c r="BA84" s="485">
        <v>0</v>
      </c>
      <c r="BB84" s="485">
        <v>0</v>
      </c>
    </row>
    <row r="85" spans="1:54" s="481" customFormat="1">
      <c r="A85" s="137"/>
      <c r="B85" s="137"/>
      <c r="C85" s="134" t="s">
        <v>320</v>
      </c>
      <c r="D85" s="137"/>
      <c r="E85" s="480">
        <f>E70</f>
        <v>9.0596745385589426</v>
      </c>
      <c r="F85" s="485">
        <v>0</v>
      </c>
      <c r="G85" s="485">
        <v>0</v>
      </c>
      <c r="H85" s="485">
        <v>0</v>
      </c>
      <c r="I85" s="485">
        <v>0</v>
      </c>
      <c r="J85" s="485">
        <v>0</v>
      </c>
      <c r="K85" s="485">
        <v>0</v>
      </c>
      <c r="L85" s="485">
        <v>0</v>
      </c>
      <c r="M85" s="485">
        <v>0</v>
      </c>
      <c r="N85" s="485">
        <v>0</v>
      </c>
      <c r="O85" s="485">
        <v>0</v>
      </c>
      <c r="P85" s="485">
        <v>0</v>
      </c>
      <c r="Q85" s="485">
        <v>0</v>
      </c>
      <c r="R85" s="485">
        <v>0</v>
      </c>
      <c r="S85" s="485">
        <v>0</v>
      </c>
      <c r="T85" s="485">
        <v>0</v>
      </c>
      <c r="U85" s="485">
        <v>0</v>
      </c>
      <c r="V85" s="485">
        <v>0</v>
      </c>
      <c r="W85" s="485">
        <v>0</v>
      </c>
      <c r="X85" s="485">
        <v>0</v>
      </c>
      <c r="Y85" s="485">
        <v>0</v>
      </c>
      <c r="Z85" s="485">
        <v>0</v>
      </c>
      <c r="AA85" s="485">
        <v>0</v>
      </c>
      <c r="AB85" s="485">
        <v>0</v>
      </c>
      <c r="AC85" s="485">
        <v>0</v>
      </c>
      <c r="AD85" s="485">
        <v>0</v>
      </c>
      <c r="AE85" s="485">
        <v>0</v>
      </c>
      <c r="AF85" s="485">
        <v>0</v>
      </c>
      <c r="AG85" s="485">
        <v>0</v>
      </c>
      <c r="AH85" s="485">
        <v>0</v>
      </c>
      <c r="AI85" s="485">
        <v>0</v>
      </c>
      <c r="AJ85" s="485">
        <v>0</v>
      </c>
      <c r="AK85" s="485">
        <v>0</v>
      </c>
      <c r="AL85" s="485">
        <v>0</v>
      </c>
      <c r="AM85" s="485">
        <v>0</v>
      </c>
      <c r="AN85" s="485">
        <v>0</v>
      </c>
      <c r="AO85" s="485">
        <v>0</v>
      </c>
      <c r="AP85" s="485">
        <v>0</v>
      </c>
      <c r="AQ85" s="485">
        <v>0</v>
      </c>
      <c r="AR85" s="485">
        <v>0</v>
      </c>
      <c r="AS85" s="485">
        <v>0</v>
      </c>
      <c r="AT85" s="485">
        <v>0</v>
      </c>
      <c r="AU85" s="485">
        <v>0</v>
      </c>
      <c r="AV85" s="485">
        <v>0</v>
      </c>
      <c r="AW85" s="485">
        <v>0</v>
      </c>
      <c r="AX85" s="485">
        <v>0</v>
      </c>
      <c r="AY85" s="485">
        <v>0</v>
      </c>
      <c r="AZ85" s="485">
        <v>0</v>
      </c>
      <c r="BA85" s="485">
        <v>0</v>
      </c>
      <c r="BB85" s="485">
        <v>0</v>
      </c>
    </row>
    <row r="86" spans="1:54" s="481" customFormat="1">
      <c r="A86" s="137"/>
      <c r="B86" s="137"/>
      <c r="C86" s="134" t="s">
        <v>332</v>
      </c>
      <c r="D86" s="137"/>
      <c r="E86" s="480">
        <f>E71</f>
        <v>0</v>
      </c>
      <c r="F86" s="485">
        <v>0</v>
      </c>
      <c r="G86" s="485">
        <v>0</v>
      </c>
      <c r="H86" s="485">
        <v>0</v>
      </c>
      <c r="I86" s="485">
        <v>0</v>
      </c>
      <c r="J86" s="485">
        <v>0</v>
      </c>
      <c r="K86" s="485">
        <v>0</v>
      </c>
      <c r="L86" s="485">
        <v>0</v>
      </c>
      <c r="M86" s="485">
        <v>0</v>
      </c>
      <c r="N86" s="485">
        <v>0</v>
      </c>
      <c r="O86" s="485">
        <v>0</v>
      </c>
      <c r="P86" s="485">
        <v>0</v>
      </c>
      <c r="Q86" s="485">
        <v>0</v>
      </c>
      <c r="R86" s="485">
        <v>0</v>
      </c>
      <c r="S86" s="485">
        <v>0</v>
      </c>
      <c r="T86" s="485">
        <v>0</v>
      </c>
      <c r="U86" s="485">
        <v>0</v>
      </c>
      <c r="V86" s="485">
        <v>0</v>
      </c>
      <c r="W86" s="485">
        <v>0</v>
      </c>
      <c r="X86" s="485">
        <v>0</v>
      </c>
      <c r="Y86" s="485">
        <v>0</v>
      </c>
      <c r="Z86" s="485">
        <v>0</v>
      </c>
      <c r="AA86" s="485">
        <v>0</v>
      </c>
      <c r="AB86" s="485">
        <v>0</v>
      </c>
      <c r="AC86" s="485">
        <v>0</v>
      </c>
      <c r="AD86" s="485">
        <v>0</v>
      </c>
      <c r="AE86" s="485">
        <v>0</v>
      </c>
      <c r="AF86" s="485">
        <v>0</v>
      </c>
      <c r="AG86" s="485">
        <v>0</v>
      </c>
      <c r="AH86" s="485">
        <v>0</v>
      </c>
      <c r="AI86" s="485">
        <v>0</v>
      </c>
      <c r="AJ86" s="485">
        <v>0</v>
      </c>
      <c r="AK86" s="485">
        <v>0</v>
      </c>
      <c r="AL86" s="485">
        <v>0</v>
      </c>
      <c r="AM86" s="485">
        <v>0</v>
      </c>
      <c r="AN86" s="485">
        <v>0</v>
      </c>
      <c r="AO86" s="485">
        <v>0</v>
      </c>
      <c r="AP86" s="485">
        <v>0</v>
      </c>
      <c r="AQ86" s="485">
        <v>0</v>
      </c>
      <c r="AR86" s="485">
        <v>0</v>
      </c>
      <c r="AS86" s="485">
        <v>0</v>
      </c>
      <c r="AT86" s="485">
        <v>0</v>
      </c>
      <c r="AU86" s="485">
        <v>0</v>
      </c>
      <c r="AV86" s="485">
        <v>0</v>
      </c>
      <c r="AW86" s="485">
        <v>0</v>
      </c>
      <c r="AX86" s="485">
        <v>0</v>
      </c>
      <c r="AY86" s="485">
        <v>0</v>
      </c>
      <c r="AZ86" s="485">
        <v>0</v>
      </c>
      <c r="BA86" s="485">
        <v>0</v>
      </c>
      <c r="BB86" s="485">
        <v>0</v>
      </c>
    </row>
    <row r="87" spans="1:54" s="134" customFormat="1">
      <c r="C87" s="134" t="s">
        <v>321</v>
      </c>
      <c r="D87" s="482"/>
      <c r="E87" s="483">
        <f>E75</f>
        <v>-2.6157124198163899</v>
      </c>
      <c r="F87" s="486">
        <v>0</v>
      </c>
      <c r="G87" s="486">
        <v>0</v>
      </c>
      <c r="H87" s="486">
        <v>0</v>
      </c>
      <c r="I87" s="486">
        <v>0</v>
      </c>
      <c r="J87" s="486">
        <v>0</v>
      </c>
      <c r="K87" s="486">
        <v>0</v>
      </c>
      <c r="L87" s="486">
        <v>0</v>
      </c>
      <c r="M87" s="486">
        <v>0</v>
      </c>
      <c r="N87" s="486">
        <v>0</v>
      </c>
      <c r="O87" s="486">
        <v>0</v>
      </c>
      <c r="P87" s="486">
        <v>0</v>
      </c>
      <c r="Q87" s="486">
        <v>0</v>
      </c>
      <c r="R87" s="486">
        <v>0</v>
      </c>
      <c r="S87" s="486">
        <v>0</v>
      </c>
      <c r="T87" s="486">
        <v>0</v>
      </c>
      <c r="U87" s="486">
        <v>0</v>
      </c>
      <c r="V87" s="486">
        <v>0</v>
      </c>
      <c r="W87" s="486">
        <v>0</v>
      </c>
      <c r="X87" s="486">
        <v>0</v>
      </c>
      <c r="Y87" s="486">
        <v>0</v>
      </c>
      <c r="Z87" s="486">
        <v>0</v>
      </c>
      <c r="AA87" s="486">
        <v>0</v>
      </c>
      <c r="AB87" s="486">
        <v>0</v>
      </c>
      <c r="AC87" s="486">
        <v>0</v>
      </c>
      <c r="AD87" s="486">
        <v>0</v>
      </c>
      <c r="AE87" s="486">
        <v>0</v>
      </c>
      <c r="AF87" s="486">
        <v>0</v>
      </c>
      <c r="AG87" s="486">
        <v>0</v>
      </c>
      <c r="AH87" s="486">
        <v>0</v>
      </c>
      <c r="AI87" s="486">
        <v>0</v>
      </c>
      <c r="AJ87" s="486">
        <v>0</v>
      </c>
      <c r="AK87" s="486">
        <v>0</v>
      </c>
      <c r="AL87" s="486">
        <v>0</v>
      </c>
      <c r="AM87" s="486">
        <v>0</v>
      </c>
      <c r="AN87" s="486">
        <v>0</v>
      </c>
      <c r="AO87" s="486">
        <v>0</v>
      </c>
      <c r="AP87" s="486">
        <v>0</v>
      </c>
      <c r="AQ87" s="486">
        <v>0</v>
      </c>
      <c r="AR87" s="486">
        <v>0</v>
      </c>
      <c r="AS87" s="486">
        <v>0</v>
      </c>
      <c r="AT87" s="486">
        <v>0</v>
      </c>
      <c r="AU87" s="486">
        <v>0</v>
      </c>
      <c r="AV87" s="486">
        <v>0</v>
      </c>
      <c r="AW87" s="486">
        <v>0</v>
      </c>
      <c r="AX87" s="486">
        <v>0</v>
      </c>
      <c r="AY87" s="486">
        <v>0</v>
      </c>
      <c r="AZ87" s="486">
        <v>0</v>
      </c>
      <c r="BA87" s="486">
        <v>0</v>
      </c>
      <c r="BB87" s="486">
        <v>0</v>
      </c>
    </row>
    <row r="88" spans="1:54" s="24" customFormat="1">
      <c r="C88" s="24" t="s">
        <v>110</v>
      </c>
      <c r="D88" s="133"/>
      <c r="E88" s="360">
        <f>SUM(E84:E87)</f>
        <v>17.187019870498091</v>
      </c>
      <c r="F88" s="360">
        <f t="shared" ref="F88:AK88" si="0">IF(F$82&lt;=Economic_Life,$E$67*(1+Escalation_Rate)^(F$82-1),0)</f>
        <v>17.573727817584299</v>
      </c>
      <c r="G88" s="360">
        <f t="shared" si="0"/>
        <v>17.969136693479943</v>
      </c>
      <c r="H88" s="360">
        <f t="shared" si="0"/>
        <v>18.373442269083238</v>
      </c>
      <c r="I88" s="360">
        <f t="shared" si="0"/>
        <v>18.786844720137612</v>
      </c>
      <c r="J88" s="360">
        <f t="shared" si="0"/>
        <v>19.20954872634071</v>
      </c>
      <c r="K88" s="360">
        <f t="shared" si="0"/>
        <v>19.641763572683374</v>
      </c>
      <c r="L88" s="360">
        <f t="shared" si="0"/>
        <v>20.083703253068748</v>
      </c>
      <c r="M88" s="360">
        <f t="shared" si="0"/>
        <v>20.535586576262791</v>
      </c>
      <c r="N88" s="360">
        <f t="shared" si="0"/>
        <v>20.997637274228701</v>
      </c>
      <c r="O88" s="360">
        <f t="shared" si="0"/>
        <v>21.470084112898846</v>
      </c>
      <c r="P88" s="360">
        <f t="shared" si="0"/>
        <v>21.953161005439068</v>
      </c>
      <c r="Q88" s="360">
        <f t="shared" si="0"/>
        <v>22.44710712806145</v>
      </c>
      <c r="R88" s="360">
        <f t="shared" si="0"/>
        <v>22.95216703844283</v>
      </c>
      <c r="S88" s="360">
        <f t="shared" si="0"/>
        <v>23.468590796807796</v>
      </c>
      <c r="T88" s="360">
        <f t="shared" si="0"/>
        <v>23.99663408973597</v>
      </c>
      <c r="U88" s="360">
        <f t="shared" si="0"/>
        <v>24.536558356755023</v>
      </c>
      <c r="V88" s="360">
        <f t="shared" si="0"/>
        <v>25.088630919782009</v>
      </c>
      <c r="W88" s="360">
        <f t="shared" si="0"/>
        <v>25.653125115477099</v>
      </c>
      <c r="X88" s="360">
        <f t="shared" si="0"/>
        <v>26.230320430575336</v>
      </c>
      <c r="Y88" s="360">
        <f t="shared" si="0"/>
        <v>0</v>
      </c>
      <c r="Z88" s="360">
        <f t="shared" si="0"/>
        <v>0</v>
      </c>
      <c r="AA88" s="360">
        <f t="shared" si="0"/>
        <v>0</v>
      </c>
      <c r="AB88" s="360">
        <f t="shared" si="0"/>
        <v>0</v>
      </c>
      <c r="AC88" s="360">
        <f t="shared" si="0"/>
        <v>0</v>
      </c>
      <c r="AD88" s="360">
        <f t="shared" si="0"/>
        <v>0</v>
      </c>
      <c r="AE88" s="360">
        <f t="shared" si="0"/>
        <v>0</v>
      </c>
      <c r="AF88" s="360">
        <f t="shared" si="0"/>
        <v>0</v>
      </c>
      <c r="AG88" s="360">
        <f t="shared" si="0"/>
        <v>0</v>
      </c>
      <c r="AH88" s="360">
        <f t="shared" si="0"/>
        <v>0</v>
      </c>
      <c r="AI88" s="360">
        <f t="shared" si="0"/>
        <v>0</v>
      </c>
      <c r="AJ88" s="360">
        <f t="shared" si="0"/>
        <v>0</v>
      </c>
      <c r="AK88" s="360">
        <f t="shared" si="0"/>
        <v>0</v>
      </c>
      <c r="AL88" s="360">
        <f t="shared" ref="AL88:BB88" si="1">IF(AL$82&lt;=Economic_Life,$E$67*(1+Escalation_Rate)^(AL$82-1),0)</f>
        <v>0</v>
      </c>
      <c r="AM88" s="360">
        <f t="shared" si="1"/>
        <v>0</v>
      </c>
      <c r="AN88" s="360">
        <f t="shared" si="1"/>
        <v>0</v>
      </c>
      <c r="AO88" s="360">
        <f t="shared" si="1"/>
        <v>0</v>
      </c>
      <c r="AP88" s="360">
        <f t="shared" si="1"/>
        <v>0</v>
      </c>
      <c r="AQ88" s="360">
        <f t="shared" si="1"/>
        <v>0</v>
      </c>
      <c r="AR88" s="360">
        <f t="shared" si="1"/>
        <v>0</v>
      </c>
      <c r="AS88" s="360">
        <f t="shared" si="1"/>
        <v>0</v>
      </c>
      <c r="AT88" s="360">
        <f t="shared" si="1"/>
        <v>0</v>
      </c>
      <c r="AU88" s="360">
        <f t="shared" si="1"/>
        <v>0</v>
      </c>
      <c r="AV88" s="360">
        <f t="shared" si="1"/>
        <v>0</v>
      </c>
      <c r="AW88" s="360">
        <f t="shared" si="1"/>
        <v>0</v>
      </c>
      <c r="AX88" s="360">
        <f t="shared" si="1"/>
        <v>0</v>
      </c>
      <c r="AY88" s="360">
        <f t="shared" si="1"/>
        <v>0</v>
      </c>
      <c r="AZ88" s="360">
        <f t="shared" si="1"/>
        <v>0</v>
      </c>
      <c r="BA88" s="360">
        <f t="shared" si="1"/>
        <v>0</v>
      </c>
      <c r="BB88" s="360">
        <f t="shared" si="1"/>
        <v>0</v>
      </c>
    </row>
    <row r="89" spans="1:54" s="9" customFormat="1">
      <c r="D89" s="132"/>
      <c r="E89" s="438"/>
      <c r="F89" s="439"/>
      <c r="G89" s="439"/>
      <c r="H89" s="439"/>
      <c r="I89" s="439"/>
      <c r="J89" s="439"/>
      <c r="K89" s="439"/>
      <c r="L89" s="439"/>
      <c r="M89" s="439"/>
      <c r="N89" s="439"/>
      <c r="O89" s="439"/>
      <c r="P89" s="439"/>
      <c r="Q89" s="439"/>
      <c r="R89" s="439"/>
      <c r="S89" s="439"/>
    </row>
    <row r="90" spans="1:54" s="9" customFormat="1">
      <c r="C90" s="134" t="s">
        <v>104</v>
      </c>
      <c r="D90" s="132"/>
      <c r="E90" s="487">
        <v>0</v>
      </c>
      <c r="F90" s="487">
        <v>0</v>
      </c>
      <c r="G90" s="487">
        <v>0</v>
      </c>
      <c r="H90" s="487">
        <v>0</v>
      </c>
      <c r="I90" s="487">
        <v>0</v>
      </c>
      <c r="J90" s="487">
        <v>0</v>
      </c>
      <c r="K90" s="487">
        <v>0</v>
      </c>
      <c r="L90" s="487">
        <v>0</v>
      </c>
      <c r="M90" s="487">
        <v>0</v>
      </c>
      <c r="N90" s="487">
        <v>0</v>
      </c>
      <c r="O90" s="487">
        <v>0</v>
      </c>
      <c r="P90" s="487">
        <v>0</v>
      </c>
      <c r="Q90" s="487">
        <v>0</v>
      </c>
      <c r="R90" s="487">
        <v>0</v>
      </c>
      <c r="S90" s="487">
        <v>0</v>
      </c>
      <c r="T90" s="487">
        <v>0</v>
      </c>
      <c r="U90" s="487">
        <v>0</v>
      </c>
      <c r="V90" s="487">
        <v>0</v>
      </c>
      <c r="W90" s="487">
        <v>0</v>
      </c>
      <c r="X90" s="487">
        <v>0</v>
      </c>
      <c r="Y90" s="487">
        <v>0</v>
      </c>
      <c r="Z90" s="487">
        <v>0</v>
      </c>
      <c r="AA90" s="487">
        <v>0</v>
      </c>
      <c r="AB90" s="487">
        <v>0</v>
      </c>
      <c r="AC90" s="487">
        <v>0</v>
      </c>
      <c r="AD90" s="487">
        <v>0</v>
      </c>
      <c r="AE90" s="487">
        <v>0</v>
      </c>
      <c r="AF90" s="487">
        <v>0</v>
      </c>
      <c r="AG90" s="487">
        <v>0</v>
      </c>
      <c r="AH90" s="487">
        <v>0</v>
      </c>
      <c r="AI90" s="487">
        <v>0</v>
      </c>
      <c r="AJ90" s="487">
        <v>0</v>
      </c>
      <c r="AK90" s="487">
        <v>0</v>
      </c>
      <c r="AL90" s="487">
        <v>0</v>
      </c>
      <c r="AM90" s="487">
        <v>0</v>
      </c>
      <c r="AN90" s="487">
        <v>0</v>
      </c>
      <c r="AO90" s="487">
        <v>0</v>
      </c>
      <c r="AP90" s="487">
        <v>0</v>
      </c>
      <c r="AQ90" s="487">
        <v>0</v>
      </c>
      <c r="AR90" s="487">
        <v>0</v>
      </c>
      <c r="AS90" s="487">
        <v>0</v>
      </c>
      <c r="AT90" s="487">
        <v>0</v>
      </c>
      <c r="AU90" s="487">
        <v>0</v>
      </c>
      <c r="AV90" s="487">
        <v>0</v>
      </c>
      <c r="AW90" s="487">
        <v>0</v>
      </c>
      <c r="AX90" s="487">
        <v>0</v>
      </c>
      <c r="AY90" s="487">
        <v>0</v>
      </c>
      <c r="AZ90" s="487">
        <v>0</v>
      </c>
      <c r="BA90" s="487">
        <v>0</v>
      </c>
      <c r="BB90" s="487">
        <v>0</v>
      </c>
    </row>
    <row r="91" spans="1:54" s="9" customFormat="1">
      <c r="C91" s="134" t="s">
        <v>105</v>
      </c>
      <c r="D91" s="132"/>
      <c r="E91" s="487">
        <v>0</v>
      </c>
      <c r="F91" s="487">
        <v>0</v>
      </c>
      <c r="G91" s="487">
        <v>0</v>
      </c>
      <c r="H91" s="487">
        <v>0</v>
      </c>
      <c r="I91" s="487">
        <v>0</v>
      </c>
      <c r="J91" s="487">
        <v>0</v>
      </c>
      <c r="K91" s="487">
        <v>0</v>
      </c>
      <c r="L91" s="487">
        <v>0</v>
      </c>
      <c r="M91" s="487">
        <v>0</v>
      </c>
      <c r="N91" s="487">
        <v>0</v>
      </c>
      <c r="O91" s="487">
        <v>0</v>
      </c>
      <c r="P91" s="487">
        <v>0</v>
      </c>
      <c r="Q91" s="487">
        <v>0</v>
      </c>
      <c r="R91" s="487">
        <v>0</v>
      </c>
      <c r="S91" s="487">
        <v>0</v>
      </c>
      <c r="T91" s="487">
        <v>0</v>
      </c>
      <c r="U91" s="487">
        <v>0</v>
      </c>
      <c r="V91" s="487">
        <v>0</v>
      </c>
      <c r="W91" s="487">
        <v>0</v>
      </c>
      <c r="X91" s="487">
        <v>0</v>
      </c>
      <c r="Y91" s="487">
        <v>0</v>
      </c>
      <c r="Z91" s="487">
        <v>0</v>
      </c>
      <c r="AA91" s="487">
        <v>0</v>
      </c>
      <c r="AB91" s="487">
        <v>0</v>
      </c>
      <c r="AC91" s="487">
        <v>0</v>
      </c>
      <c r="AD91" s="487">
        <v>0</v>
      </c>
      <c r="AE91" s="487">
        <v>0</v>
      </c>
      <c r="AF91" s="487">
        <v>0</v>
      </c>
      <c r="AG91" s="487">
        <v>0</v>
      </c>
      <c r="AH91" s="487">
        <v>0</v>
      </c>
      <c r="AI91" s="487">
        <v>0</v>
      </c>
      <c r="AJ91" s="487">
        <v>0</v>
      </c>
      <c r="AK91" s="487">
        <v>0</v>
      </c>
      <c r="AL91" s="487">
        <v>0</v>
      </c>
      <c r="AM91" s="487">
        <v>0</v>
      </c>
      <c r="AN91" s="487">
        <v>0</v>
      </c>
      <c r="AO91" s="487">
        <v>0</v>
      </c>
      <c r="AP91" s="487">
        <v>0</v>
      </c>
      <c r="AQ91" s="487">
        <v>0</v>
      </c>
      <c r="AR91" s="487">
        <v>0</v>
      </c>
      <c r="AS91" s="487">
        <v>0</v>
      </c>
      <c r="AT91" s="487">
        <v>0</v>
      </c>
      <c r="AU91" s="487">
        <v>0</v>
      </c>
      <c r="AV91" s="487">
        <v>0</v>
      </c>
      <c r="AW91" s="487">
        <v>0</v>
      </c>
      <c r="AX91" s="487">
        <v>0</v>
      </c>
      <c r="AY91" s="487">
        <v>0</v>
      </c>
      <c r="AZ91" s="487">
        <v>0</v>
      </c>
      <c r="BA91" s="487">
        <v>0</v>
      </c>
      <c r="BB91" s="487">
        <v>0</v>
      </c>
    </row>
    <row r="92" spans="1:54" s="9" customFormat="1">
      <c r="A92" s="265"/>
      <c r="C92" s="9" t="s">
        <v>23</v>
      </c>
      <c r="D92" s="131"/>
      <c r="E92" s="365">
        <f>IF(E$82&lt;=Economic_Life,$D$22*Plant_Capacity*10^3/10^6)</f>
        <v>4.7590000000000003</v>
      </c>
      <c r="F92" s="361">
        <f>IF(F$82&lt;=Economic_Life,$E$92*(1+'CONE Calcs'!Inflation)^(F$82-$E$82),0)</f>
        <v>4.8660775000000003</v>
      </c>
      <c r="G92" s="361">
        <f>IF(G$82&lt;=Economic_Life,$E$92*(1+'CONE Calcs'!Inflation)^(G$82-$E$82),0)</f>
        <v>4.9755642437500001</v>
      </c>
      <c r="H92" s="361">
        <f>IF(H$82&lt;=Economic_Life,$E$92*(1+'CONE Calcs'!Inflation)^(H$82-$E$82),0)</f>
        <v>5.0875144392343747</v>
      </c>
      <c r="I92" s="361">
        <f>IF(I$82&lt;=Economic_Life,$E$92*(1+'CONE Calcs'!Inflation)^(I$82-$E$82),0)</f>
        <v>5.2019835141171482</v>
      </c>
      <c r="J92" s="361">
        <f>IF(J$82&lt;=Economic_Life,$E$92*(1+'CONE Calcs'!Inflation)^(J$82-$E$82),0)</f>
        <v>5.3190281431847835</v>
      </c>
      <c r="K92" s="361">
        <f>IF(K$82&lt;=Economic_Life,$E$92*(1+'CONE Calcs'!Inflation)^(K$82-$E$82),0)</f>
        <v>5.4387062764064407</v>
      </c>
      <c r="L92" s="361">
        <f>IF(L$82&lt;=Economic_Life,$E$92*(1+'CONE Calcs'!Inflation)^(L$82-$E$82),0)</f>
        <v>5.5610771676255855</v>
      </c>
      <c r="M92" s="361">
        <f>IF(M$82&lt;=Economic_Life,$E$92*(1+'CONE Calcs'!Inflation)^(M$82-$E$82),0)</f>
        <v>5.6862014038971607</v>
      </c>
      <c r="N92" s="361">
        <f>IF(N$82&lt;=Economic_Life,$E$92*(1+'CONE Calcs'!Inflation)^(N$82-$E$82),0)</f>
        <v>5.8141409354848461</v>
      </c>
      <c r="O92" s="361">
        <f>IF(O$82&lt;=Economic_Life,$E$92*(1+'CONE Calcs'!Inflation)^(O$82-$E$82),0)</f>
        <v>5.9449591065332541</v>
      </c>
      <c r="P92" s="361">
        <f>IF(P$82&lt;=Economic_Life,$E$92*(1+'CONE Calcs'!Inflation)^(P$82-$E$82),0)</f>
        <v>6.0787206864302519</v>
      </c>
      <c r="Q92" s="361">
        <f>IF(Q$82&lt;=Economic_Life,$E$92*(1+'CONE Calcs'!Inflation)^(Q$82-$E$82),0)</f>
        <v>6.2154919018749331</v>
      </c>
      <c r="R92" s="361">
        <f>IF(R$82&lt;=Economic_Life,$E$92*(1+'CONE Calcs'!Inflation)^(R$82-$E$82),0)</f>
        <v>6.3553404696671194</v>
      </c>
      <c r="S92" s="361">
        <f>IF(S$82&lt;=Economic_Life,$E$92*(1+'CONE Calcs'!Inflation)^(S$82-$E$82),0)</f>
        <v>6.4983356302346289</v>
      </c>
      <c r="T92" s="361">
        <f>IF(T$82&lt;=Economic_Life,$E$92*(1+'CONE Calcs'!Inflation)^(T$82-$E$82),0)</f>
        <v>6.6445481819149084</v>
      </c>
      <c r="U92" s="361">
        <f>IF(U$82&lt;=Economic_Life,$E$92*(1+'CONE Calcs'!Inflation)^(U$82-$E$82),0)</f>
        <v>6.7940505160079914</v>
      </c>
      <c r="V92" s="361">
        <f>IF(V$82&lt;=Economic_Life,$E$92*(1+'CONE Calcs'!Inflation)^(V$82-$E$82),0)</f>
        <v>6.9469166526181718</v>
      </c>
      <c r="W92" s="361">
        <f>IF(W$82&lt;=Economic_Life,$E$92*(1+'CONE Calcs'!Inflation)^(W$82-$E$82),0)</f>
        <v>7.1032222773020788</v>
      </c>
      <c r="X92" s="361">
        <f>IF(X$82&lt;=Economic_Life,$E$92*(1+'CONE Calcs'!Inflation)^(X$82-$E$82),0)</f>
        <v>7.2630447785413761</v>
      </c>
      <c r="Y92" s="361">
        <f>IF(Y$82&lt;=Economic_Life,$E$92*(1+'CONE Calcs'!Inflation)^(Y$82-$E$82),0)</f>
        <v>0</v>
      </c>
      <c r="Z92" s="361">
        <f>IF(Z$82&lt;=Economic_Life,$E$92*(1+'CONE Calcs'!Inflation)^(Z$82-$E$82),0)</f>
        <v>0</v>
      </c>
      <c r="AA92" s="361">
        <f>IF(AA$82&lt;=Economic_Life,$E$92*(1+'CONE Calcs'!Inflation)^(AA$82-$E$82),0)</f>
        <v>0</v>
      </c>
      <c r="AB92" s="361">
        <f>IF(AB$82&lt;=Economic_Life,$E$92*(1+'CONE Calcs'!Inflation)^(AB$82-$E$82),0)</f>
        <v>0</v>
      </c>
      <c r="AC92" s="361">
        <f>IF(AC$82&lt;=Economic_Life,$E$92*(1+'CONE Calcs'!Inflation)^(AC$82-$E$82),0)</f>
        <v>0</v>
      </c>
      <c r="AD92" s="361">
        <f>IF(AD$82&lt;=Economic_Life,$E$92*(1+'CONE Calcs'!Inflation)^(AD$82-$E$82),0)</f>
        <v>0</v>
      </c>
      <c r="AE92" s="361">
        <f>IF(AE$82&lt;=Economic_Life,$E$92*(1+'CONE Calcs'!Inflation)^(AE$82-$E$82),0)</f>
        <v>0</v>
      </c>
      <c r="AF92" s="361">
        <f>IF(AF$82&lt;=Economic_Life,$E$92*(1+'CONE Calcs'!Inflation)^(AF$82-$E$82),0)</f>
        <v>0</v>
      </c>
      <c r="AG92" s="361">
        <f>IF(AG$82&lt;=Economic_Life,$E$92*(1+'CONE Calcs'!Inflation)^(AG$82-$E$82),0)</f>
        <v>0</v>
      </c>
      <c r="AH92" s="361">
        <f>IF(AH$82&lt;=Economic_Life,$E$92*(1+'CONE Calcs'!Inflation)^(AH$82-$E$82),0)</f>
        <v>0</v>
      </c>
      <c r="AI92" s="361">
        <f>IF(AI$82&lt;=Economic_Life,$E$92*(1+'CONE Calcs'!Inflation)^(AI$82-$E$82),0)</f>
        <v>0</v>
      </c>
      <c r="AJ92" s="361">
        <f>IF(AJ$82&lt;=Economic_Life,$E$92*(1+'CONE Calcs'!Inflation)^(AJ$82-$E$82),0)</f>
        <v>0</v>
      </c>
      <c r="AK92" s="361">
        <f>IF(AK$82&lt;=Economic_Life,$E$92*(1+'CONE Calcs'!Inflation)^(AK$82-$E$82),0)</f>
        <v>0</v>
      </c>
      <c r="AL92" s="361">
        <f>IF(AL$82&lt;=Economic_Life,$E$92*(1+'CONE Calcs'!Inflation)^(AL$82-$E$82),0)</f>
        <v>0</v>
      </c>
      <c r="AM92" s="361">
        <f>IF(AM$82&lt;=Economic_Life,$E$92*(1+'CONE Calcs'!Inflation)^(AM$82-$E$82),0)</f>
        <v>0</v>
      </c>
      <c r="AN92" s="361">
        <f>IF(AN$82&lt;=Economic_Life,$E$92*(1+'CONE Calcs'!Inflation)^(AN$82-$E$82),0)</f>
        <v>0</v>
      </c>
      <c r="AO92" s="361">
        <f>IF(AO$82&lt;=Economic_Life,$E$92*(1+'CONE Calcs'!Inflation)^(AO$82-$E$82),0)</f>
        <v>0</v>
      </c>
      <c r="AP92" s="361">
        <f>IF(AP$82&lt;=Economic_Life,$E$92*(1+'CONE Calcs'!Inflation)^(AP$82-$E$82),0)</f>
        <v>0</v>
      </c>
      <c r="AQ92" s="361">
        <f>IF(AQ$82&lt;=Economic_Life,$E$92*(1+'CONE Calcs'!Inflation)^(AQ$82-$E$82),0)</f>
        <v>0</v>
      </c>
      <c r="AR92" s="361">
        <f>IF(AR$82&lt;=Economic_Life,$E$92*(1+'CONE Calcs'!Inflation)^(AR$82-$E$82),0)</f>
        <v>0</v>
      </c>
      <c r="AS92" s="361">
        <f>IF(AS$82&lt;=Economic_Life,$E$92*(1+'CONE Calcs'!Inflation)^(AS$82-$E$82),0)</f>
        <v>0</v>
      </c>
      <c r="AT92" s="361">
        <f>IF(AT$82&lt;=Economic_Life,$E$92*(1+'CONE Calcs'!Inflation)^(AT$82-$E$82),0)</f>
        <v>0</v>
      </c>
      <c r="AU92" s="361">
        <f>IF(AU$82&lt;=Economic_Life,$E$92*(1+'CONE Calcs'!Inflation)^(AU$82-$E$82),0)</f>
        <v>0</v>
      </c>
      <c r="AV92" s="361">
        <f>IF(AV$82&lt;=Economic_Life,$E$92*(1+'CONE Calcs'!Inflation)^(AV$82-$E$82),0)</f>
        <v>0</v>
      </c>
      <c r="AW92" s="361">
        <f>IF(AW$82&lt;=Economic_Life,$E$92*(1+'CONE Calcs'!Inflation)^(AW$82-$E$82),0)</f>
        <v>0</v>
      </c>
      <c r="AX92" s="361">
        <f>IF(AX$82&lt;=Economic_Life,$E$92*(1+'CONE Calcs'!Inflation)^(AX$82-$E$82),0)</f>
        <v>0</v>
      </c>
      <c r="AY92" s="361">
        <f>IF(AY$82&lt;=Economic_Life,$E$92*(1+'CONE Calcs'!Inflation)^(AY$82-$E$82),0)</f>
        <v>0</v>
      </c>
      <c r="AZ92" s="361">
        <f>IF(AZ$82&lt;=Economic_Life,$E$92*(1+'CONE Calcs'!Inflation)^(AZ$82-$E$82),0)</f>
        <v>0</v>
      </c>
      <c r="BA92" s="361">
        <f>IF(BA$82&lt;=Economic_Life,$E$92*(1+'CONE Calcs'!Inflation)^(BA$82-$E$82),0)</f>
        <v>0</v>
      </c>
      <c r="BB92" s="361">
        <f>IF(BB$82&lt;=Economic_Life,$E$92*(1+'CONE Calcs'!Inflation)^(BB$82-$E$82),0)</f>
        <v>0</v>
      </c>
    </row>
    <row r="93" spans="1:54" s="24" customFormat="1">
      <c r="C93" s="24" t="s">
        <v>24</v>
      </c>
      <c r="E93" s="360">
        <f>SUM(E$90:E$92)</f>
        <v>4.7590000000000003</v>
      </c>
      <c r="F93" s="360">
        <f t="shared" ref="F93:BB93" si="2">SUM(F$90:F$92)</f>
        <v>4.8660775000000003</v>
      </c>
      <c r="G93" s="360">
        <f t="shared" si="2"/>
        <v>4.9755642437500001</v>
      </c>
      <c r="H93" s="360">
        <f t="shared" ref="H93:M93" si="3">SUM(H$90:H$92)</f>
        <v>5.0875144392343747</v>
      </c>
      <c r="I93" s="360">
        <f t="shared" si="3"/>
        <v>5.2019835141171482</v>
      </c>
      <c r="J93" s="360">
        <f t="shared" si="3"/>
        <v>5.3190281431847835</v>
      </c>
      <c r="K93" s="360">
        <f t="shared" si="3"/>
        <v>5.4387062764064407</v>
      </c>
      <c r="L93" s="360">
        <f t="shared" si="3"/>
        <v>5.5610771676255855</v>
      </c>
      <c r="M93" s="360">
        <f t="shared" si="3"/>
        <v>5.6862014038971607</v>
      </c>
      <c r="N93" s="360">
        <f t="shared" si="2"/>
        <v>5.8141409354848461</v>
      </c>
      <c r="O93" s="360">
        <f t="shared" si="2"/>
        <v>5.9449591065332541</v>
      </c>
      <c r="P93" s="360">
        <f t="shared" si="2"/>
        <v>6.0787206864302519</v>
      </c>
      <c r="Q93" s="360">
        <f t="shared" si="2"/>
        <v>6.2154919018749331</v>
      </c>
      <c r="R93" s="360">
        <f t="shared" si="2"/>
        <v>6.3553404696671194</v>
      </c>
      <c r="S93" s="360">
        <f t="shared" si="2"/>
        <v>6.4983356302346289</v>
      </c>
      <c r="T93" s="360">
        <f t="shared" si="2"/>
        <v>6.6445481819149084</v>
      </c>
      <c r="U93" s="360">
        <f t="shared" si="2"/>
        <v>6.7940505160079914</v>
      </c>
      <c r="V93" s="360">
        <f t="shared" si="2"/>
        <v>6.9469166526181718</v>
      </c>
      <c r="W93" s="360">
        <f t="shared" si="2"/>
        <v>7.1032222773020788</v>
      </c>
      <c r="X93" s="360">
        <f t="shared" si="2"/>
        <v>7.2630447785413761</v>
      </c>
      <c r="Y93" s="360">
        <f t="shared" si="2"/>
        <v>0</v>
      </c>
      <c r="Z93" s="360">
        <f t="shared" si="2"/>
        <v>0</v>
      </c>
      <c r="AA93" s="360">
        <f t="shared" si="2"/>
        <v>0</v>
      </c>
      <c r="AB93" s="360">
        <f t="shared" si="2"/>
        <v>0</v>
      </c>
      <c r="AC93" s="360">
        <f t="shared" si="2"/>
        <v>0</v>
      </c>
      <c r="AD93" s="360">
        <f t="shared" si="2"/>
        <v>0</v>
      </c>
      <c r="AE93" s="360">
        <f t="shared" si="2"/>
        <v>0</v>
      </c>
      <c r="AF93" s="360">
        <f t="shared" si="2"/>
        <v>0</v>
      </c>
      <c r="AG93" s="360">
        <f t="shared" si="2"/>
        <v>0</v>
      </c>
      <c r="AH93" s="360">
        <f t="shared" si="2"/>
        <v>0</v>
      </c>
      <c r="AI93" s="360">
        <f t="shared" si="2"/>
        <v>0</v>
      </c>
      <c r="AJ93" s="360">
        <f t="shared" si="2"/>
        <v>0</v>
      </c>
      <c r="AK93" s="360">
        <f t="shared" si="2"/>
        <v>0</v>
      </c>
      <c r="AL93" s="360">
        <f t="shared" si="2"/>
        <v>0</v>
      </c>
      <c r="AM93" s="360">
        <f t="shared" si="2"/>
        <v>0</v>
      </c>
      <c r="AN93" s="360">
        <f t="shared" si="2"/>
        <v>0</v>
      </c>
      <c r="AO93" s="360">
        <f t="shared" si="2"/>
        <v>0</v>
      </c>
      <c r="AP93" s="360">
        <f t="shared" si="2"/>
        <v>0</v>
      </c>
      <c r="AQ93" s="360">
        <f t="shared" si="2"/>
        <v>0</v>
      </c>
      <c r="AR93" s="360">
        <f t="shared" si="2"/>
        <v>0</v>
      </c>
      <c r="AS93" s="360">
        <f t="shared" si="2"/>
        <v>0</v>
      </c>
      <c r="AT93" s="360">
        <f t="shared" si="2"/>
        <v>0</v>
      </c>
      <c r="AU93" s="360">
        <f t="shared" si="2"/>
        <v>0</v>
      </c>
      <c r="AV93" s="360">
        <f t="shared" si="2"/>
        <v>0</v>
      </c>
      <c r="AW93" s="360">
        <f t="shared" si="2"/>
        <v>0</v>
      </c>
      <c r="AX93" s="360">
        <f t="shared" si="2"/>
        <v>0</v>
      </c>
      <c r="AY93" s="360">
        <f t="shared" si="2"/>
        <v>0</v>
      </c>
      <c r="AZ93" s="360">
        <f t="shared" si="2"/>
        <v>0</v>
      </c>
      <c r="BA93" s="360">
        <f t="shared" si="2"/>
        <v>0</v>
      </c>
      <c r="BB93" s="360">
        <f t="shared" si="2"/>
        <v>0</v>
      </c>
    </row>
    <row r="94" spans="1:54" s="9" customFormat="1">
      <c r="E94" s="135"/>
      <c r="F94" s="135"/>
      <c r="G94" s="135"/>
      <c r="H94" s="135"/>
      <c r="I94" s="135"/>
      <c r="J94" s="135"/>
      <c r="K94" s="135"/>
      <c r="L94" s="135"/>
      <c r="M94" s="135"/>
      <c r="N94" s="135"/>
      <c r="O94" s="135"/>
      <c r="P94" s="135"/>
      <c r="Q94" s="135"/>
      <c r="R94" s="135"/>
      <c r="S94" s="135"/>
      <c r="T94" s="135"/>
      <c r="U94" s="135"/>
      <c r="V94" s="135"/>
      <c r="W94" s="135"/>
      <c r="X94" s="135"/>
    </row>
    <row r="95" spans="1:54" s="12" customFormat="1">
      <c r="C95" s="12" t="s">
        <v>25</v>
      </c>
      <c r="E95" s="364">
        <f>VLOOKUP(E$82,'Tax Depreciation'!$A$10:$K$59,MATCH(Tax_Depreciation,'Tax Depreciation'!$A$8:$K$8,0),0)</f>
        <v>0.35</v>
      </c>
      <c r="F95" s="364">
        <f>VLOOKUP(F$82,'Tax Depreciation'!$A$10:$K$59,MATCH(Tax_Depreciation,'Tax Depreciation'!$A$8:$K$8,0),0)</f>
        <v>0.26</v>
      </c>
      <c r="G95" s="364">
        <f>VLOOKUP(G$82,'Tax Depreciation'!$A$10:$K$59,MATCH(Tax_Depreciation,'Tax Depreciation'!$A$8:$K$8,0),0)</f>
        <v>0.156</v>
      </c>
      <c r="H95" s="364">
        <f>VLOOKUP(H$82,'Tax Depreciation'!$A$10:$K$59,MATCH(Tax_Depreciation,'Tax Depreciation'!$A$8:$K$8,0),0)</f>
        <v>0.1101</v>
      </c>
      <c r="I95" s="364">
        <f>VLOOKUP(I$82,'Tax Depreciation'!$A$10:$K$59,MATCH(Tax_Depreciation,'Tax Depreciation'!$A$8:$K$8,0),0)</f>
        <v>0.1101</v>
      </c>
      <c r="J95" s="364">
        <f>VLOOKUP(J$82,'Tax Depreciation'!$A$10:$K$59,MATCH(Tax_Depreciation,'Tax Depreciation'!$A$8:$K$8,0),0)</f>
        <v>1.38E-2</v>
      </c>
      <c r="K95" s="364">
        <f>VLOOKUP(K$82,'Tax Depreciation'!$A$10:$K$59,MATCH(Tax_Depreciation,'Tax Depreciation'!$A$8:$K$8,0),0)</f>
        <v>0</v>
      </c>
      <c r="L95" s="364">
        <f>VLOOKUP(L$82,'Tax Depreciation'!$A$10:$K$59,MATCH(Tax_Depreciation,'Tax Depreciation'!$A$8:$K$8,0),0)</f>
        <v>0</v>
      </c>
      <c r="M95" s="364">
        <f>VLOOKUP(M$82,'Tax Depreciation'!$A$10:$K$59,MATCH(Tax_Depreciation,'Tax Depreciation'!$A$8:$K$8,0),0)</f>
        <v>0</v>
      </c>
      <c r="N95" s="364">
        <f>VLOOKUP(N$82,'Tax Depreciation'!$A$10:$K$59,MATCH(Tax_Depreciation,'Tax Depreciation'!$A$8:$K$8,0),0)</f>
        <v>0</v>
      </c>
      <c r="O95" s="364">
        <f>VLOOKUP(O$82,'Tax Depreciation'!$A$10:$K$59,MATCH(Tax_Depreciation,'Tax Depreciation'!$A$8:$K$8,0),0)</f>
        <v>0</v>
      </c>
      <c r="P95" s="364">
        <f>VLOOKUP(P$82,'Tax Depreciation'!$A$10:$K$59,MATCH(Tax_Depreciation,'Tax Depreciation'!$A$8:$K$8,0),0)</f>
        <v>0</v>
      </c>
      <c r="Q95" s="364">
        <f>VLOOKUP(Q$82,'Tax Depreciation'!$A$10:$K$59,MATCH(Tax_Depreciation,'Tax Depreciation'!$A$8:$K$8,0),0)</f>
        <v>0</v>
      </c>
      <c r="R95" s="364">
        <f>VLOOKUP(R$82,'Tax Depreciation'!$A$10:$K$59,MATCH(Tax_Depreciation,'Tax Depreciation'!$A$8:$K$8,0),0)</f>
        <v>0</v>
      </c>
      <c r="S95" s="364">
        <f>VLOOKUP(S$82,'Tax Depreciation'!$A$10:$K$59,MATCH(Tax_Depreciation,'Tax Depreciation'!$A$8:$K$8,0),0)</f>
        <v>0</v>
      </c>
      <c r="T95" s="364">
        <f>VLOOKUP(T$82,'Tax Depreciation'!$A$10:$K$59,MATCH(Tax_Depreciation,'Tax Depreciation'!$A$8:$K$8,0),0)</f>
        <v>0</v>
      </c>
      <c r="U95" s="364">
        <f>VLOOKUP(U$82,'Tax Depreciation'!$A$10:$K$59,MATCH(Tax_Depreciation,'Tax Depreciation'!$A$8:$K$8,0),0)</f>
        <v>0</v>
      </c>
      <c r="V95" s="364">
        <f>VLOOKUP(V$82,'Tax Depreciation'!$A$10:$K$59,MATCH(Tax_Depreciation,'Tax Depreciation'!$A$8:$K$8,0),0)</f>
        <v>0</v>
      </c>
      <c r="W95" s="364">
        <f>VLOOKUP(W$82,'Tax Depreciation'!$A$10:$K$59,MATCH(Tax_Depreciation,'Tax Depreciation'!$A$8:$K$8,0),0)</f>
        <v>0</v>
      </c>
      <c r="X95" s="364">
        <f>VLOOKUP(X$82,'Tax Depreciation'!$A$10:$K$59,MATCH(Tax_Depreciation,'Tax Depreciation'!$A$8:$K$8,0),0)</f>
        <v>0</v>
      </c>
      <c r="Y95" s="364">
        <f>VLOOKUP(Y$82,'Tax Depreciation'!$A$10:$K$59,MATCH(Tax_Depreciation,'Tax Depreciation'!$A$8:$K$8,0),0)</f>
        <v>0</v>
      </c>
      <c r="Z95" s="364">
        <f>VLOOKUP(Z$82,'Tax Depreciation'!$A$10:$K$59,MATCH(Tax_Depreciation,'Tax Depreciation'!$A$8:$K$8,0),0)</f>
        <v>0</v>
      </c>
      <c r="AA95" s="364">
        <f>VLOOKUP(AA$82,'Tax Depreciation'!$A$10:$K$59,MATCH(Tax_Depreciation,'Tax Depreciation'!$A$8:$K$8,0),0)</f>
        <v>0</v>
      </c>
      <c r="AB95" s="364">
        <f>VLOOKUP(AB$82,'Tax Depreciation'!$A$10:$K$59,MATCH(Tax_Depreciation,'Tax Depreciation'!$A$8:$K$8,0),0)</f>
        <v>0</v>
      </c>
      <c r="AC95" s="364">
        <f>VLOOKUP(AC$82,'Tax Depreciation'!$A$10:$K$59,MATCH(Tax_Depreciation,'Tax Depreciation'!$A$8:$K$8,0),0)</f>
        <v>0</v>
      </c>
      <c r="AD95" s="364">
        <f>VLOOKUP(AD$82,'Tax Depreciation'!$A$10:$K$59,MATCH(Tax_Depreciation,'Tax Depreciation'!$A$8:$K$8,0),0)</f>
        <v>0</v>
      </c>
      <c r="AE95" s="364">
        <f>VLOOKUP(AE$82,'Tax Depreciation'!$A$10:$K$59,MATCH(Tax_Depreciation,'Tax Depreciation'!$A$8:$K$8,0),0)</f>
        <v>0</v>
      </c>
      <c r="AF95" s="364">
        <f>VLOOKUP(AF$82,'Tax Depreciation'!$A$10:$K$59,MATCH(Tax_Depreciation,'Tax Depreciation'!$A$8:$K$8,0),0)</f>
        <v>0</v>
      </c>
      <c r="AG95" s="364">
        <f>VLOOKUP(AG$82,'Tax Depreciation'!$A$10:$K$59,MATCH(Tax_Depreciation,'Tax Depreciation'!$A$8:$K$8,0),0)</f>
        <v>0</v>
      </c>
      <c r="AH95" s="364">
        <f>VLOOKUP(AH$82,'Tax Depreciation'!$A$10:$K$59,MATCH(Tax_Depreciation,'Tax Depreciation'!$A$8:$K$8,0),0)</f>
        <v>0</v>
      </c>
      <c r="AI95" s="364">
        <f>VLOOKUP(AI$82,'Tax Depreciation'!$A$10:$K$59,MATCH(Tax_Depreciation,'Tax Depreciation'!$A$8:$K$8,0),0)</f>
        <v>0</v>
      </c>
      <c r="AJ95" s="364">
        <f>VLOOKUP(AJ$82,'Tax Depreciation'!$A$10:$K$59,MATCH(Tax_Depreciation,'Tax Depreciation'!$A$8:$K$8,0),0)</f>
        <v>0</v>
      </c>
      <c r="AK95" s="364">
        <f>VLOOKUP(AK$82,'Tax Depreciation'!$A$10:$K$59,MATCH(Tax_Depreciation,'Tax Depreciation'!$A$8:$K$8,0),0)</f>
        <v>0</v>
      </c>
      <c r="AL95" s="364">
        <f>VLOOKUP(AL$82,'Tax Depreciation'!$A$10:$K$59,MATCH(Tax_Depreciation,'Tax Depreciation'!$A$8:$K$8,0),0)</f>
        <v>0</v>
      </c>
      <c r="AM95" s="364">
        <f>VLOOKUP(AM$82,'Tax Depreciation'!$A$10:$K$59,MATCH(Tax_Depreciation,'Tax Depreciation'!$A$8:$K$8,0),0)</f>
        <v>0</v>
      </c>
      <c r="AN95" s="364">
        <f>VLOOKUP(AN$82,'Tax Depreciation'!$A$10:$K$59,MATCH(Tax_Depreciation,'Tax Depreciation'!$A$8:$K$8,0),0)</f>
        <v>0</v>
      </c>
      <c r="AO95" s="364">
        <f>VLOOKUP(AO$82,'Tax Depreciation'!$A$10:$K$59,MATCH(Tax_Depreciation,'Tax Depreciation'!$A$8:$K$8,0),0)</f>
        <v>0</v>
      </c>
      <c r="AP95" s="364">
        <f>VLOOKUP(AP$82,'Tax Depreciation'!$A$10:$K$59,MATCH(Tax_Depreciation,'Tax Depreciation'!$A$8:$K$8,0),0)</f>
        <v>0</v>
      </c>
      <c r="AQ95" s="364">
        <f>VLOOKUP(AQ$82,'Tax Depreciation'!$A$10:$K$59,MATCH(Tax_Depreciation,'Tax Depreciation'!$A$8:$K$8,0),0)</f>
        <v>0</v>
      </c>
      <c r="AR95" s="364">
        <f>VLOOKUP(AR$82,'Tax Depreciation'!$A$10:$K$59,MATCH(Tax_Depreciation,'Tax Depreciation'!$A$8:$K$8,0),0)</f>
        <v>0</v>
      </c>
      <c r="AS95" s="364">
        <f>VLOOKUP(AS$82,'Tax Depreciation'!$A$10:$K$59,MATCH(Tax_Depreciation,'Tax Depreciation'!$A$8:$K$8,0),0)</f>
        <v>0</v>
      </c>
      <c r="AT95" s="364">
        <f>VLOOKUP(AT$82,'Tax Depreciation'!$A$10:$K$59,MATCH(Tax_Depreciation,'Tax Depreciation'!$A$8:$K$8,0),0)</f>
        <v>0</v>
      </c>
      <c r="AU95" s="364">
        <f>VLOOKUP(AU$82,'Tax Depreciation'!$A$10:$K$59,MATCH(Tax_Depreciation,'Tax Depreciation'!$A$8:$K$8,0),0)</f>
        <v>0</v>
      </c>
      <c r="AV95" s="364">
        <f>VLOOKUP(AV$82,'Tax Depreciation'!$A$10:$K$59,MATCH(Tax_Depreciation,'Tax Depreciation'!$A$8:$K$8,0),0)</f>
        <v>0</v>
      </c>
      <c r="AW95" s="364">
        <f>VLOOKUP(AW$82,'Tax Depreciation'!$A$10:$K$59,MATCH(Tax_Depreciation,'Tax Depreciation'!$A$8:$K$8,0),0)</f>
        <v>0</v>
      </c>
      <c r="AX95" s="364">
        <f>VLOOKUP(AX$82,'Tax Depreciation'!$A$10:$K$59,MATCH(Tax_Depreciation,'Tax Depreciation'!$A$8:$K$8,0),0)</f>
        <v>0</v>
      </c>
      <c r="AY95" s="364">
        <f>VLOOKUP(AY$82,'Tax Depreciation'!$A$10:$K$59,MATCH(Tax_Depreciation,'Tax Depreciation'!$A$8:$K$8,0),0)</f>
        <v>0</v>
      </c>
      <c r="AZ95" s="364">
        <f>VLOOKUP(AZ$82,'Tax Depreciation'!$A$10:$K$59,MATCH(Tax_Depreciation,'Tax Depreciation'!$A$8:$K$8,0),0)</f>
        <v>0</v>
      </c>
      <c r="BA95" s="364">
        <f>VLOOKUP(BA$82,'Tax Depreciation'!$A$10:$K$59,MATCH(Tax_Depreciation,'Tax Depreciation'!$A$8:$K$8,0),0)</f>
        <v>0</v>
      </c>
      <c r="BB95" s="364">
        <f>VLOOKUP(BB$82,'Tax Depreciation'!$A$10:$K$59,MATCH(Tax_Depreciation,'Tax Depreciation'!$A$8:$K$8,0),0)</f>
        <v>0</v>
      </c>
    </row>
    <row r="96" spans="1:54" s="12" customFormat="1">
      <c r="C96" s="12" t="s">
        <v>26</v>
      </c>
      <c r="D96" s="136"/>
      <c r="E96" s="362">
        <f t="shared" ref="E96:AJ96" si="4">E$95*Plant_Capacity*Depreciable_Cost/10^3</f>
        <v>65.74383632794266</v>
      </c>
      <c r="F96" s="362">
        <f t="shared" si="4"/>
        <v>48.838278415043128</v>
      </c>
      <c r="G96" s="362">
        <f t="shared" si="4"/>
        <v>29.302967049025874</v>
      </c>
      <c r="H96" s="362">
        <f t="shared" ref="H96:M96" si="5">H$95*Plant_Capacity*Depreciable_Cost/10^3</f>
        <v>20.681132513447107</v>
      </c>
      <c r="I96" s="362">
        <f t="shared" si="5"/>
        <v>20.681132513447107</v>
      </c>
      <c r="J96" s="362">
        <f t="shared" si="5"/>
        <v>2.5921855466445964</v>
      </c>
      <c r="K96" s="362">
        <f t="shared" si="5"/>
        <v>0</v>
      </c>
      <c r="L96" s="362">
        <f t="shared" si="5"/>
        <v>0</v>
      </c>
      <c r="M96" s="362">
        <f t="shared" si="5"/>
        <v>0</v>
      </c>
      <c r="N96" s="362">
        <f t="shared" si="4"/>
        <v>0</v>
      </c>
      <c r="O96" s="362">
        <f t="shared" si="4"/>
        <v>0</v>
      </c>
      <c r="P96" s="362">
        <f t="shared" si="4"/>
        <v>0</v>
      </c>
      <c r="Q96" s="362">
        <f t="shared" si="4"/>
        <v>0</v>
      </c>
      <c r="R96" s="362">
        <f t="shared" si="4"/>
        <v>0</v>
      </c>
      <c r="S96" s="362">
        <f t="shared" si="4"/>
        <v>0</v>
      </c>
      <c r="T96" s="362">
        <f t="shared" si="4"/>
        <v>0</v>
      </c>
      <c r="U96" s="362">
        <f t="shared" si="4"/>
        <v>0</v>
      </c>
      <c r="V96" s="362">
        <f t="shared" si="4"/>
        <v>0</v>
      </c>
      <c r="W96" s="362">
        <f t="shared" si="4"/>
        <v>0</v>
      </c>
      <c r="X96" s="362">
        <f t="shared" si="4"/>
        <v>0</v>
      </c>
      <c r="Y96" s="362">
        <f t="shared" si="4"/>
        <v>0</v>
      </c>
      <c r="Z96" s="362">
        <f t="shared" si="4"/>
        <v>0</v>
      </c>
      <c r="AA96" s="362">
        <f t="shared" si="4"/>
        <v>0</v>
      </c>
      <c r="AB96" s="362">
        <f t="shared" si="4"/>
        <v>0</v>
      </c>
      <c r="AC96" s="362">
        <f t="shared" si="4"/>
        <v>0</v>
      </c>
      <c r="AD96" s="362">
        <f t="shared" si="4"/>
        <v>0</v>
      </c>
      <c r="AE96" s="362">
        <f t="shared" si="4"/>
        <v>0</v>
      </c>
      <c r="AF96" s="362">
        <f t="shared" si="4"/>
        <v>0</v>
      </c>
      <c r="AG96" s="362">
        <f t="shared" si="4"/>
        <v>0</v>
      </c>
      <c r="AH96" s="362">
        <f t="shared" si="4"/>
        <v>0</v>
      </c>
      <c r="AI96" s="362">
        <f t="shared" si="4"/>
        <v>0</v>
      </c>
      <c r="AJ96" s="362">
        <f t="shared" si="4"/>
        <v>0</v>
      </c>
      <c r="AK96" s="362">
        <f t="shared" ref="AK96:BB96" si="6">AK$95*Plant_Capacity*Depreciable_Cost/10^3</f>
        <v>0</v>
      </c>
      <c r="AL96" s="362">
        <f t="shared" si="6"/>
        <v>0</v>
      </c>
      <c r="AM96" s="362">
        <f t="shared" si="6"/>
        <v>0</v>
      </c>
      <c r="AN96" s="362">
        <f t="shared" si="6"/>
        <v>0</v>
      </c>
      <c r="AO96" s="362">
        <f t="shared" si="6"/>
        <v>0</v>
      </c>
      <c r="AP96" s="362">
        <f t="shared" si="6"/>
        <v>0</v>
      </c>
      <c r="AQ96" s="362">
        <f t="shared" si="6"/>
        <v>0</v>
      </c>
      <c r="AR96" s="362">
        <f t="shared" si="6"/>
        <v>0</v>
      </c>
      <c r="AS96" s="362">
        <f t="shared" si="6"/>
        <v>0</v>
      </c>
      <c r="AT96" s="362">
        <f t="shared" si="6"/>
        <v>0</v>
      </c>
      <c r="AU96" s="362">
        <f t="shared" si="6"/>
        <v>0</v>
      </c>
      <c r="AV96" s="362">
        <f t="shared" si="6"/>
        <v>0</v>
      </c>
      <c r="AW96" s="362">
        <f t="shared" si="6"/>
        <v>0</v>
      </c>
      <c r="AX96" s="362">
        <f t="shared" si="6"/>
        <v>0</v>
      </c>
      <c r="AY96" s="362">
        <f t="shared" si="6"/>
        <v>0</v>
      </c>
      <c r="AZ96" s="362">
        <f t="shared" si="6"/>
        <v>0</v>
      </c>
      <c r="BA96" s="362">
        <f t="shared" si="6"/>
        <v>0</v>
      </c>
      <c r="BB96" s="362">
        <f t="shared" si="6"/>
        <v>0</v>
      </c>
    </row>
    <row r="97" spans="3:61" s="24" customFormat="1">
      <c r="C97" s="24" t="s">
        <v>108</v>
      </c>
      <c r="E97" s="360">
        <f t="shared" ref="E97:AJ97" si="7">Tax_Rate*(E$88-E$93-E$96)</f>
        <v>-21.59290566526505</v>
      </c>
      <c r="F97" s="360">
        <f t="shared" si="7"/>
        <v>-14.632904379470824</v>
      </c>
      <c r="G97" s="360">
        <f t="shared" si="7"/>
        <v>-6.605304812714853</v>
      </c>
      <c r="H97" s="360">
        <f t="shared" ref="H97:M97" si="8">Tax_Rate*(H$88-H$93-H$96)</f>
        <v>-2.995057896857289</v>
      </c>
      <c r="I97" s="360">
        <f t="shared" si="8"/>
        <v>-2.8739898795077909</v>
      </c>
      <c r="J97" s="360">
        <f t="shared" si="8"/>
        <v>4.5758256897870888</v>
      </c>
      <c r="K97" s="360">
        <f t="shared" si="8"/>
        <v>5.7522382049921585</v>
      </c>
      <c r="L97" s="360">
        <f t="shared" si="8"/>
        <v>5.881663564604481</v>
      </c>
      <c r="M97" s="360">
        <f t="shared" si="8"/>
        <v>6.0140009948080806</v>
      </c>
      <c r="N97" s="360">
        <f t="shared" si="7"/>
        <v>6.1493160171912615</v>
      </c>
      <c r="O97" s="360">
        <f t="shared" si="7"/>
        <v>6.2876756275780652</v>
      </c>
      <c r="P97" s="360">
        <f t="shared" si="7"/>
        <v>6.4291483291985712</v>
      </c>
      <c r="Q97" s="360">
        <f t="shared" si="7"/>
        <v>6.5738041666055391</v>
      </c>
      <c r="R97" s="360">
        <f t="shared" si="7"/>
        <v>6.7217147603541632</v>
      </c>
      <c r="S97" s="360">
        <f t="shared" si="7"/>
        <v>6.8729533424621332</v>
      </c>
      <c r="T97" s="360">
        <f t="shared" si="7"/>
        <v>7.0275947926675313</v>
      </c>
      <c r="U97" s="360">
        <f t="shared" si="7"/>
        <v>7.1857156755025482</v>
      </c>
      <c r="V97" s="360">
        <f t="shared" si="7"/>
        <v>7.3473942782013548</v>
      </c>
      <c r="W97" s="360">
        <f t="shared" si="7"/>
        <v>7.5127106494608844</v>
      </c>
      <c r="X97" s="360">
        <f t="shared" si="7"/>
        <v>7.6817466390737552</v>
      </c>
      <c r="Y97" s="360">
        <f t="shared" si="7"/>
        <v>0</v>
      </c>
      <c r="Z97" s="360">
        <f t="shared" si="7"/>
        <v>0</v>
      </c>
      <c r="AA97" s="360">
        <f t="shared" si="7"/>
        <v>0</v>
      </c>
      <c r="AB97" s="360">
        <f t="shared" si="7"/>
        <v>0</v>
      </c>
      <c r="AC97" s="360">
        <f t="shared" si="7"/>
        <v>0</v>
      </c>
      <c r="AD97" s="360">
        <f t="shared" si="7"/>
        <v>0</v>
      </c>
      <c r="AE97" s="360">
        <f t="shared" si="7"/>
        <v>0</v>
      </c>
      <c r="AF97" s="360">
        <f t="shared" si="7"/>
        <v>0</v>
      </c>
      <c r="AG97" s="360">
        <f t="shared" si="7"/>
        <v>0</v>
      </c>
      <c r="AH97" s="360">
        <f t="shared" si="7"/>
        <v>0</v>
      </c>
      <c r="AI97" s="360">
        <f t="shared" si="7"/>
        <v>0</v>
      </c>
      <c r="AJ97" s="360">
        <f t="shared" si="7"/>
        <v>0</v>
      </c>
      <c r="AK97" s="360">
        <f t="shared" ref="AK97:BB97" si="9">Tax_Rate*(AK$88-AK$93-AK$96)</f>
        <v>0</v>
      </c>
      <c r="AL97" s="360">
        <f t="shared" si="9"/>
        <v>0</v>
      </c>
      <c r="AM97" s="360">
        <f t="shared" si="9"/>
        <v>0</v>
      </c>
      <c r="AN97" s="360">
        <f t="shared" si="9"/>
        <v>0</v>
      </c>
      <c r="AO97" s="360">
        <f t="shared" si="9"/>
        <v>0</v>
      </c>
      <c r="AP97" s="360">
        <f t="shared" si="9"/>
        <v>0</v>
      </c>
      <c r="AQ97" s="360">
        <f t="shared" si="9"/>
        <v>0</v>
      </c>
      <c r="AR97" s="360">
        <f t="shared" si="9"/>
        <v>0</v>
      </c>
      <c r="AS97" s="360">
        <f t="shared" si="9"/>
        <v>0</v>
      </c>
      <c r="AT97" s="360">
        <f t="shared" si="9"/>
        <v>0</v>
      </c>
      <c r="AU97" s="360">
        <f t="shared" si="9"/>
        <v>0</v>
      </c>
      <c r="AV97" s="360">
        <f t="shared" si="9"/>
        <v>0</v>
      </c>
      <c r="AW97" s="360">
        <f t="shared" si="9"/>
        <v>0</v>
      </c>
      <c r="AX97" s="360">
        <f t="shared" si="9"/>
        <v>0</v>
      </c>
      <c r="AY97" s="360">
        <f t="shared" si="9"/>
        <v>0</v>
      </c>
      <c r="AZ97" s="360">
        <f t="shared" si="9"/>
        <v>0</v>
      </c>
      <c r="BA97" s="360">
        <f t="shared" si="9"/>
        <v>0</v>
      </c>
      <c r="BB97" s="360">
        <f t="shared" si="9"/>
        <v>0</v>
      </c>
    </row>
    <row r="98" spans="3:61" s="18" customFormat="1">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row>
    <row r="99" spans="3:61" s="18" customFormat="1">
      <c r="C99" s="134" t="s">
        <v>245</v>
      </c>
      <c r="E99" s="440">
        <f t="shared" ref="E99:AJ99" si="10">IF(AND(E$82=1,$D$28="ITC"),$D$15*ITC,0)</f>
        <v>0</v>
      </c>
      <c r="F99" s="440">
        <f t="shared" si="10"/>
        <v>0</v>
      </c>
      <c r="G99" s="440">
        <f t="shared" si="10"/>
        <v>0</v>
      </c>
      <c r="H99" s="440">
        <f t="shared" si="10"/>
        <v>0</v>
      </c>
      <c r="I99" s="440">
        <f t="shared" si="10"/>
        <v>0</v>
      </c>
      <c r="J99" s="440">
        <f t="shared" si="10"/>
        <v>0</v>
      </c>
      <c r="K99" s="440">
        <f t="shared" si="10"/>
        <v>0</v>
      </c>
      <c r="L99" s="440">
        <f t="shared" si="10"/>
        <v>0</v>
      </c>
      <c r="M99" s="440">
        <f t="shared" si="10"/>
        <v>0</v>
      </c>
      <c r="N99" s="440">
        <f t="shared" si="10"/>
        <v>0</v>
      </c>
      <c r="O99" s="440">
        <f t="shared" si="10"/>
        <v>0</v>
      </c>
      <c r="P99" s="440">
        <f t="shared" si="10"/>
        <v>0</v>
      </c>
      <c r="Q99" s="440">
        <f t="shared" si="10"/>
        <v>0</v>
      </c>
      <c r="R99" s="440">
        <f t="shared" si="10"/>
        <v>0</v>
      </c>
      <c r="S99" s="440">
        <f t="shared" si="10"/>
        <v>0</v>
      </c>
      <c r="T99" s="440">
        <f t="shared" si="10"/>
        <v>0</v>
      </c>
      <c r="U99" s="440">
        <f t="shared" si="10"/>
        <v>0</v>
      </c>
      <c r="V99" s="440">
        <f t="shared" si="10"/>
        <v>0</v>
      </c>
      <c r="W99" s="440">
        <f t="shared" si="10"/>
        <v>0</v>
      </c>
      <c r="X99" s="440">
        <f t="shared" si="10"/>
        <v>0</v>
      </c>
      <c r="Y99" s="440">
        <f t="shared" si="10"/>
        <v>0</v>
      </c>
      <c r="Z99" s="440">
        <f t="shared" si="10"/>
        <v>0</v>
      </c>
      <c r="AA99" s="440">
        <f t="shared" si="10"/>
        <v>0</v>
      </c>
      <c r="AB99" s="440">
        <f t="shared" si="10"/>
        <v>0</v>
      </c>
      <c r="AC99" s="440">
        <f t="shared" si="10"/>
        <v>0</v>
      </c>
      <c r="AD99" s="440">
        <f t="shared" si="10"/>
        <v>0</v>
      </c>
      <c r="AE99" s="440">
        <f t="shared" si="10"/>
        <v>0</v>
      </c>
      <c r="AF99" s="440">
        <f t="shared" si="10"/>
        <v>0</v>
      </c>
      <c r="AG99" s="440">
        <f t="shared" si="10"/>
        <v>0</v>
      </c>
      <c r="AH99" s="440">
        <f t="shared" si="10"/>
        <v>0</v>
      </c>
      <c r="AI99" s="440">
        <f t="shared" si="10"/>
        <v>0</v>
      </c>
      <c r="AJ99" s="440">
        <f t="shared" si="10"/>
        <v>0</v>
      </c>
      <c r="AK99" s="440">
        <f t="shared" ref="AK99:BB99" si="11">IF(AND(AK$82=1,$D$28="ITC"),$D$15*ITC,0)</f>
        <v>0</v>
      </c>
      <c r="AL99" s="440">
        <f t="shared" si="11"/>
        <v>0</v>
      </c>
      <c r="AM99" s="440">
        <f t="shared" si="11"/>
        <v>0</v>
      </c>
      <c r="AN99" s="440">
        <f t="shared" si="11"/>
        <v>0</v>
      </c>
      <c r="AO99" s="440">
        <f t="shared" si="11"/>
        <v>0</v>
      </c>
      <c r="AP99" s="440">
        <f t="shared" si="11"/>
        <v>0</v>
      </c>
      <c r="AQ99" s="440">
        <f t="shared" si="11"/>
        <v>0</v>
      </c>
      <c r="AR99" s="440">
        <f t="shared" si="11"/>
        <v>0</v>
      </c>
      <c r="AS99" s="440">
        <f t="shared" si="11"/>
        <v>0</v>
      </c>
      <c r="AT99" s="440">
        <f t="shared" si="11"/>
        <v>0</v>
      </c>
      <c r="AU99" s="440">
        <f t="shared" si="11"/>
        <v>0</v>
      </c>
      <c r="AV99" s="440">
        <f t="shared" si="11"/>
        <v>0</v>
      </c>
      <c r="AW99" s="440">
        <f t="shared" si="11"/>
        <v>0</v>
      </c>
      <c r="AX99" s="440">
        <f t="shared" si="11"/>
        <v>0</v>
      </c>
      <c r="AY99" s="440">
        <f t="shared" si="11"/>
        <v>0</v>
      </c>
      <c r="AZ99" s="440">
        <f t="shared" si="11"/>
        <v>0</v>
      </c>
      <c r="BA99" s="440">
        <f t="shared" si="11"/>
        <v>0</v>
      </c>
      <c r="BB99" s="440">
        <f t="shared" si="11"/>
        <v>0</v>
      </c>
      <c r="BC99" s="25"/>
      <c r="BD99" s="25"/>
      <c r="BE99" s="25"/>
      <c r="BF99" s="25"/>
      <c r="BG99" s="25"/>
      <c r="BH99" s="25"/>
      <c r="BI99" s="25"/>
    </row>
    <row r="100" spans="3:61" s="138" customFormat="1">
      <c r="C100" s="138" t="s">
        <v>106</v>
      </c>
      <c r="D100" s="452"/>
      <c r="E100" s="363">
        <f t="shared" ref="E100:AJ100" si="12">IF(AND(E$82&lt;=10,$D$28="PTC"),$D$29*Plant_Capacity*8760*$D$13/10^6,0)</f>
        <v>4.7242547515171687</v>
      </c>
      <c r="F100" s="363">
        <f t="shared" si="12"/>
        <v>4.7242547515171687</v>
      </c>
      <c r="G100" s="363">
        <f t="shared" si="12"/>
        <v>4.7242547515171687</v>
      </c>
      <c r="H100" s="363">
        <f t="shared" si="12"/>
        <v>4.7242547515171687</v>
      </c>
      <c r="I100" s="363">
        <f t="shared" si="12"/>
        <v>4.7242547515171687</v>
      </c>
      <c r="J100" s="363">
        <f t="shared" si="12"/>
        <v>4.7242547515171687</v>
      </c>
      <c r="K100" s="363">
        <f t="shared" si="12"/>
        <v>4.7242547515171687</v>
      </c>
      <c r="L100" s="363">
        <f t="shared" si="12"/>
        <v>4.7242547515171687</v>
      </c>
      <c r="M100" s="363">
        <f t="shared" si="12"/>
        <v>4.7242547515171687</v>
      </c>
      <c r="N100" s="363">
        <f t="shared" si="12"/>
        <v>4.7242547515171687</v>
      </c>
      <c r="O100" s="363">
        <f t="shared" si="12"/>
        <v>0</v>
      </c>
      <c r="P100" s="363">
        <f t="shared" si="12"/>
        <v>0</v>
      </c>
      <c r="Q100" s="363">
        <f t="shared" si="12"/>
        <v>0</v>
      </c>
      <c r="R100" s="363">
        <f t="shared" si="12"/>
        <v>0</v>
      </c>
      <c r="S100" s="363">
        <f t="shared" si="12"/>
        <v>0</v>
      </c>
      <c r="T100" s="363">
        <f t="shared" si="12"/>
        <v>0</v>
      </c>
      <c r="U100" s="363">
        <f t="shared" si="12"/>
        <v>0</v>
      </c>
      <c r="V100" s="363">
        <f t="shared" si="12"/>
        <v>0</v>
      </c>
      <c r="W100" s="363">
        <f t="shared" si="12"/>
        <v>0</v>
      </c>
      <c r="X100" s="363">
        <f t="shared" si="12"/>
        <v>0</v>
      </c>
      <c r="Y100" s="363">
        <f t="shared" si="12"/>
        <v>0</v>
      </c>
      <c r="Z100" s="363">
        <f t="shared" si="12"/>
        <v>0</v>
      </c>
      <c r="AA100" s="363">
        <f t="shared" si="12"/>
        <v>0</v>
      </c>
      <c r="AB100" s="363">
        <f t="shared" si="12"/>
        <v>0</v>
      </c>
      <c r="AC100" s="363">
        <f t="shared" si="12"/>
        <v>0</v>
      </c>
      <c r="AD100" s="363">
        <f t="shared" si="12"/>
        <v>0</v>
      </c>
      <c r="AE100" s="363">
        <f t="shared" si="12"/>
        <v>0</v>
      </c>
      <c r="AF100" s="363">
        <f t="shared" si="12"/>
        <v>0</v>
      </c>
      <c r="AG100" s="363">
        <f t="shared" si="12"/>
        <v>0</v>
      </c>
      <c r="AH100" s="363">
        <f t="shared" si="12"/>
        <v>0</v>
      </c>
      <c r="AI100" s="363">
        <f t="shared" si="12"/>
        <v>0</v>
      </c>
      <c r="AJ100" s="363">
        <f t="shared" si="12"/>
        <v>0</v>
      </c>
      <c r="AK100" s="363">
        <f t="shared" ref="AK100:BB100" si="13">IF(AND(AK$82&lt;=10,$D$28="PTC"),$D$29*Plant_Capacity*8760*$D$13/10^6,0)</f>
        <v>0</v>
      </c>
      <c r="AL100" s="363">
        <f t="shared" si="13"/>
        <v>0</v>
      </c>
      <c r="AM100" s="363">
        <f t="shared" si="13"/>
        <v>0</v>
      </c>
      <c r="AN100" s="363">
        <f t="shared" si="13"/>
        <v>0</v>
      </c>
      <c r="AO100" s="363">
        <f t="shared" si="13"/>
        <v>0</v>
      </c>
      <c r="AP100" s="363">
        <f t="shared" si="13"/>
        <v>0</v>
      </c>
      <c r="AQ100" s="363">
        <f t="shared" si="13"/>
        <v>0</v>
      </c>
      <c r="AR100" s="363">
        <f t="shared" si="13"/>
        <v>0</v>
      </c>
      <c r="AS100" s="363">
        <f t="shared" si="13"/>
        <v>0</v>
      </c>
      <c r="AT100" s="363">
        <f t="shared" si="13"/>
        <v>0</v>
      </c>
      <c r="AU100" s="363">
        <f t="shared" si="13"/>
        <v>0</v>
      </c>
      <c r="AV100" s="363">
        <f t="shared" si="13"/>
        <v>0</v>
      </c>
      <c r="AW100" s="363">
        <f t="shared" si="13"/>
        <v>0</v>
      </c>
      <c r="AX100" s="363">
        <f t="shared" si="13"/>
        <v>0</v>
      </c>
      <c r="AY100" s="363">
        <f t="shared" si="13"/>
        <v>0</v>
      </c>
      <c r="AZ100" s="363">
        <f t="shared" si="13"/>
        <v>0</v>
      </c>
      <c r="BA100" s="363">
        <f t="shared" si="13"/>
        <v>0</v>
      </c>
      <c r="BB100" s="363">
        <f t="shared" si="13"/>
        <v>0</v>
      </c>
    </row>
    <row r="101" spans="3:61" s="24" customFormat="1">
      <c r="C101" s="24" t="s">
        <v>107</v>
      </c>
      <c r="E101" s="360">
        <f>E$97-SUM(E$99:E$100)</f>
        <v>-26.317160416782219</v>
      </c>
      <c r="F101" s="360">
        <f t="shared" ref="F101:BB101" si="14">F$97-SUM(F$99:F$100)</f>
        <v>-19.357159130987995</v>
      </c>
      <c r="G101" s="360">
        <f t="shared" si="14"/>
        <v>-11.329559564232021</v>
      </c>
      <c r="H101" s="360">
        <f t="shared" ref="H101:M101" si="15">H$97-SUM(H$99:H$100)</f>
        <v>-7.7193126483744576</v>
      </c>
      <c r="I101" s="360">
        <f t="shared" si="15"/>
        <v>-7.5982446310249596</v>
      </c>
      <c r="J101" s="360">
        <f t="shared" si="15"/>
        <v>-0.14842906173007986</v>
      </c>
      <c r="K101" s="360">
        <f t="shared" si="15"/>
        <v>1.0279834534749899</v>
      </c>
      <c r="L101" s="360">
        <f t="shared" si="15"/>
        <v>1.1574088130873124</v>
      </c>
      <c r="M101" s="360">
        <f t="shared" si="15"/>
        <v>1.2897462432909119</v>
      </c>
      <c r="N101" s="360">
        <f t="shared" si="14"/>
        <v>1.4250612656740929</v>
      </c>
      <c r="O101" s="360">
        <f t="shared" si="14"/>
        <v>6.2876756275780652</v>
      </c>
      <c r="P101" s="360">
        <f t="shared" si="14"/>
        <v>6.4291483291985712</v>
      </c>
      <c r="Q101" s="360">
        <f t="shared" si="14"/>
        <v>6.5738041666055391</v>
      </c>
      <c r="R101" s="360">
        <f t="shared" si="14"/>
        <v>6.7217147603541632</v>
      </c>
      <c r="S101" s="360">
        <f t="shared" si="14"/>
        <v>6.8729533424621332</v>
      </c>
      <c r="T101" s="360">
        <f t="shared" si="14"/>
        <v>7.0275947926675313</v>
      </c>
      <c r="U101" s="360">
        <f t="shared" si="14"/>
        <v>7.1857156755025482</v>
      </c>
      <c r="V101" s="360">
        <f t="shared" si="14"/>
        <v>7.3473942782013548</v>
      </c>
      <c r="W101" s="360">
        <f t="shared" si="14"/>
        <v>7.5127106494608844</v>
      </c>
      <c r="X101" s="360">
        <f t="shared" si="14"/>
        <v>7.6817466390737552</v>
      </c>
      <c r="Y101" s="360">
        <f t="shared" si="14"/>
        <v>0</v>
      </c>
      <c r="Z101" s="360">
        <f t="shared" si="14"/>
        <v>0</v>
      </c>
      <c r="AA101" s="360">
        <f t="shared" si="14"/>
        <v>0</v>
      </c>
      <c r="AB101" s="360">
        <f t="shared" si="14"/>
        <v>0</v>
      </c>
      <c r="AC101" s="360">
        <f t="shared" si="14"/>
        <v>0</v>
      </c>
      <c r="AD101" s="360">
        <f t="shared" si="14"/>
        <v>0</v>
      </c>
      <c r="AE101" s="360">
        <f t="shared" si="14"/>
        <v>0</v>
      </c>
      <c r="AF101" s="360">
        <f t="shared" si="14"/>
        <v>0</v>
      </c>
      <c r="AG101" s="360">
        <f t="shared" si="14"/>
        <v>0</v>
      </c>
      <c r="AH101" s="360">
        <f t="shared" si="14"/>
        <v>0</v>
      </c>
      <c r="AI101" s="360">
        <f t="shared" si="14"/>
        <v>0</v>
      </c>
      <c r="AJ101" s="360">
        <f t="shared" si="14"/>
        <v>0</v>
      </c>
      <c r="AK101" s="360">
        <f t="shared" si="14"/>
        <v>0</v>
      </c>
      <c r="AL101" s="360">
        <f t="shared" si="14"/>
        <v>0</v>
      </c>
      <c r="AM101" s="360">
        <f t="shared" si="14"/>
        <v>0</v>
      </c>
      <c r="AN101" s="360">
        <f t="shared" si="14"/>
        <v>0</v>
      </c>
      <c r="AO101" s="360">
        <f t="shared" si="14"/>
        <v>0</v>
      </c>
      <c r="AP101" s="360">
        <f t="shared" si="14"/>
        <v>0</v>
      </c>
      <c r="AQ101" s="360">
        <f t="shared" si="14"/>
        <v>0</v>
      </c>
      <c r="AR101" s="360">
        <f t="shared" si="14"/>
        <v>0</v>
      </c>
      <c r="AS101" s="360">
        <f t="shared" si="14"/>
        <v>0</v>
      </c>
      <c r="AT101" s="360">
        <f t="shared" si="14"/>
        <v>0</v>
      </c>
      <c r="AU101" s="360">
        <f t="shared" si="14"/>
        <v>0</v>
      </c>
      <c r="AV101" s="360">
        <f t="shared" si="14"/>
        <v>0</v>
      </c>
      <c r="AW101" s="360">
        <f t="shared" si="14"/>
        <v>0</v>
      </c>
      <c r="AX101" s="360">
        <f t="shared" si="14"/>
        <v>0</v>
      </c>
      <c r="AY101" s="360">
        <f t="shared" si="14"/>
        <v>0</v>
      </c>
      <c r="AZ101" s="360">
        <f t="shared" si="14"/>
        <v>0</v>
      </c>
      <c r="BA101" s="360">
        <f t="shared" si="14"/>
        <v>0</v>
      </c>
      <c r="BB101" s="360">
        <f t="shared" si="14"/>
        <v>0</v>
      </c>
    </row>
    <row r="102" spans="3:61" s="18" customFormat="1">
      <c r="E102" s="359"/>
      <c r="F102" s="359"/>
      <c r="G102" s="359"/>
      <c r="H102" s="359"/>
      <c r="I102" s="359"/>
      <c r="J102" s="359"/>
      <c r="K102" s="359"/>
      <c r="L102" s="359"/>
      <c r="M102" s="359"/>
      <c r="N102" s="359"/>
      <c r="O102" s="359"/>
      <c r="P102" s="359"/>
      <c r="Q102" s="359"/>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59"/>
      <c r="AZ102" s="359"/>
      <c r="BA102" s="359"/>
      <c r="BB102" s="359"/>
    </row>
    <row r="103" spans="3:61" s="18" customFormat="1">
      <c r="C103" s="18" t="s">
        <v>27</v>
      </c>
      <c r="D103" s="444">
        <f>-Plant_Capacity*Installed_Cost/10^3</f>
        <v>-195.57413073893059</v>
      </c>
      <c r="E103" s="359">
        <f>E$88-E$93-E$101</f>
        <v>38.745180287280306</v>
      </c>
      <c r="F103" s="359">
        <f t="shared" ref="F103:BB103" si="16">F$88-F$93-F$101</f>
        <v>32.064809448572291</v>
      </c>
      <c r="G103" s="359">
        <f t="shared" si="16"/>
        <v>24.323132013961963</v>
      </c>
      <c r="H103" s="359">
        <f t="shared" ref="H103:M103" si="17">H$88-H$93-H$101</f>
        <v>21.005240478223321</v>
      </c>
      <c r="I103" s="359">
        <f t="shared" si="17"/>
        <v>21.183105837045424</v>
      </c>
      <c r="J103" s="359">
        <f t="shared" si="17"/>
        <v>14.038949644886006</v>
      </c>
      <c r="K103" s="359">
        <f t="shared" si="17"/>
        <v>13.175073842801943</v>
      </c>
      <c r="L103" s="359">
        <f t="shared" si="17"/>
        <v>13.365217272355849</v>
      </c>
      <c r="M103" s="359">
        <f t="shared" si="17"/>
        <v>13.559638929074717</v>
      </c>
      <c r="N103" s="359">
        <f t="shared" si="16"/>
        <v>13.758435073069762</v>
      </c>
      <c r="O103" s="359">
        <f t="shared" si="16"/>
        <v>9.2374493787875274</v>
      </c>
      <c r="P103" s="359">
        <f t="shared" si="16"/>
        <v>9.4452919898102436</v>
      </c>
      <c r="Q103" s="359">
        <f t="shared" si="16"/>
        <v>9.6578110595809772</v>
      </c>
      <c r="R103" s="359">
        <f t="shared" si="16"/>
        <v>9.875111808421547</v>
      </c>
      <c r="S103" s="359">
        <f t="shared" si="16"/>
        <v>10.097301824111035</v>
      </c>
      <c r="T103" s="359">
        <f t="shared" si="16"/>
        <v>10.324491115153531</v>
      </c>
      <c r="U103" s="359">
        <f t="shared" si="16"/>
        <v>10.556792165244483</v>
      </c>
      <c r="V103" s="359">
        <f t="shared" si="16"/>
        <v>10.794319988962483</v>
      </c>
      <c r="W103" s="359">
        <f t="shared" si="16"/>
        <v>11.037192188714137</v>
      </c>
      <c r="X103" s="359">
        <f t="shared" si="16"/>
        <v>11.285529012960207</v>
      </c>
      <c r="Y103" s="359">
        <f t="shared" si="16"/>
        <v>0</v>
      </c>
      <c r="Z103" s="359">
        <f t="shared" si="16"/>
        <v>0</v>
      </c>
      <c r="AA103" s="359">
        <f t="shared" si="16"/>
        <v>0</v>
      </c>
      <c r="AB103" s="359">
        <f t="shared" si="16"/>
        <v>0</v>
      </c>
      <c r="AC103" s="359">
        <f t="shared" si="16"/>
        <v>0</v>
      </c>
      <c r="AD103" s="359">
        <f t="shared" si="16"/>
        <v>0</v>
      </c>
      <c r="AE103" s="359">
        <f t="shared" si="16"/>
        <v>0</v>
      </c>
      <c r="AF103" s="359">
        <f t="shared" si="16"/>
        <v>0</v>
      </c>
      <c r="AG103" s="359">
        <f t="shared" si="16"/>
        <v>0</v>
      </c>
      <c r="AH103" s="359">
        <f t="shared" si="16"/>
        <v>0</v>
      </c>
      <c r="AI103" s="359">
        <f t="shared" si="16"/>
        <v>0</v>
      </c>
      <c r="AJ103" s="359">
        <f t="shared" si="16"/>
        <v>0</v>
      </c>
      <c r="AK103" s="359">
        <f t="shared" si="16"/>
        <v>0</v>
      </c>
      <c r="AL103" s="359">
        <f t="shared" si="16"/>
        <v>0</v>
      </c>
      <c r="AM103" s="359">
        <f t="shared" si="16"/>
        <v>0</v>
      </c>
      <c r="AN103" s="359">
        <f t="shared" si="16"/>
        <v>0</v>
      </c>
      <c r="AO103" s="359">
        <f t="shared" si="16"/>
        <v>0</v>
      </c>
      <c r="AP103" s="359">
        <f t="shared" si="16"/>
        <v>0</v>
      </c>
      <c r="AQ103" s="359">
        <f t="shared" si="16"/>
        <v>0</v>
      </c>
      <c r="AR103" s="359">
        <f t="shared" si="16"/>
        <v>0</v>
      </c>
      <c r="AS103" s="359">
        <f t="shared" si="16"/>
        <v>0</v>
      </c>
      <c r="AT103" s="359">
        <f t="shared" si="16"/>
        <v>0</v>
      </c>
      <c r="AU103" s="359">
        <f t="shared" si="16"/>
        <v>0</v>
      </c>
      <c r="AV103" s="359">
        <f t="shared" si="16"/>
        <v>0</v>
      </c>
      <c r="AW103" s="359">
        <f t="shared" si="16"/>
        <v>0</v>
      </c>
      <c r="AX103" s="359">
        <f t="shared" si="16"/>
        <v>0</v>
      </c>
      <c r="AY103" s="359">
        <f t="shared" si="16"/>
        <v>0</v>
      </c>
      <c r="AZ103" s="359">
        <f t="shared" si="16"/>
        <v>0</v>
      </c>
      <c r="BA103" s="359">
        <f t="shared" si="16"/>
        <v>0</v>
      </c>
      <c r="BB103" s="359">
        <f t="shared" si="16"/>
        <v>0</v>
      </c>
      <c r="BC103" s="25"/>
    </row>
    <row r="104" spans="3:61" s="18" customFormat="1">
      <c r="C104" s="62" t="s">
        <v>63</v>
      </c>
      <c r="D104" s="25">
        <f>NPV(ATWACC,$E$103:$BB$103)*(1+ATWACC)^0.5</f>
        <v>195.57413073893059</v>
      </c>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row>
    <row r="105" spans="3:61" s="9" customFormat="1">
      <c r="D105" s="65" t="b">
        <f>ABS((D103+D104)/D103)&lt;0.001</f>
        <v>1</v>
      </c>
    </row>
    <row r="106" spans="3:61" s="21" customFormat="1" ht="5.25" customHeight="1" thickBot="1"/>
    <row r="107" spans="3:61" s="6" customFormat="1" ht="13.5" thickTop="1"/>
    <row r="108" spans="3:61" s="43" customFormat="1" hidden="1" outlineLevel="1"/>
    <row r="109" spans="3:61" s="43" customFormat="1" hidden="1" outlineLevel="1">
      <c r="C109" s="44" t="str">
        <f>C116</f>
        <v>Interest Payments ($m)</v>
      </c>
      <c r="E109" s="45">
        <f t="shared" ref="E109:BB109" si="18">E116</f>
        <v>2.5102440737985647</v>
      </c>
      <c r="F109" s="45">
        <f t="shared" si="18"/>
        <v>4.2561915668962644</v>
      </c>
      <c r="G109" s="45">
        <f t="shared" si="18"/>
        <v>3.7288246283029092</v>
      </c>
      <c r="H109" s="45">
        <f t="shared" si="18"/>
        <v>3.3647867044388589</v>
      </c>
      <c r="I109" s="45">
        <f t="shared" si="18"/>
        <v>3.060814151123517</v>
      </c>
      <c r="J109" s="45">
        <f t="shared" si="18"/>
        <v>2.7303401938166956</v>
      </c>
      <c r="K109" s="45">
        <f t="shared" si="18"/>
        <v>2.561830086798647</v>
      </c>
      <c r="L109" s="45">
        <f t="shared" si="18"/>
        <v>2.4036530782326948</v>
      </c>
      <c r="M109" s="45">
        <f t="shared" si="18"/>
        <v>2.2291483411918498</v>
      </c>
      <c r="N109" s="45">
        <f t="shared" si="18"/>
        <v>2.0370295351514844</v>
      </c>
      <c r="O109" s="45">
        <f t="shared" si="18"/>
        <v>1.8259152388965232</v>
      </c>
      <c r="P109" s="45">
        <f t="shared" si="18"/>
        <v>1.7171526747914301</v>
      </c>
      <c r="Q109" s="45">
        <f t="shared" si="18"/>
        <v>1.595158561061103</v>
      </c>
      <c r="R109" s="45">
        <f t="shared" si="18"/>
        <v>1.4588590351515653</v>
      </c>
      <c r="S109" s="45">
        <f t="shared" si="18"/>
        <v>1.3071002128924631</v>
      </c>
      <c r="T109" s="45">
        <f t="shared" si="18"/>
        <v>1.1386423677874469</v>
      </c>
      <c r="U109" s="45">
        <f t="shared" si="18"/>
        <v>0.95215369000311767</v>
      </c>
      <c r="V109" s="45">
        <f t="shared" si="18"/>
        <v>0.74620359477628551</v>
      </c>
      <c r="W109" s="45">
        <f t="shared" si="18"/>
        <v>0.51925554777931027</v>
      </c>
      <c r="X109" s="45">
        <f t="shared" si="18"/>
        <v>0.2696593726464197</v>
      </c>
      <c r="Y109" s="45">
        <f t="shared" si="18"/>
        <v>0</v>
      </c>
      <c r="Z109" s="45">
        <f t="shared" si="18"/>
        <v>0</v>
      </c>
      <c r="AA109" s="45">
        <f t="shared" si="18"/>
        <v>0</v>
      </c>
      <c r="AB109" s="45">
        <f t="shared" si="18"/>
        <v>0</v>
      </c>
      <c r="AC109" s="45">
        <f t="shared" si="18"/>
        <v>0</v>
      </c>
      <c r="AD109" s="45">
        <f t="shared" si="18"/>
        <v>0</v>
      </c>
      <c r="AE109" s="45">
        <f t="shared" si="18"/>
        <v>0</v>
      </c>
      <c r="AF109" s="45">
        <f t="shared" si="18"/>
        <v>0</v>
      </c>
      <c r="AG109" s="45">
        <f t="shared" si="18"/>
        <v>0</v>
      </c>
      <c r="AH109" s="45">
        <f t="shared" si="18"/>
        <v>0</v>
      </c>
      <c r="AI109" s="45">
        <f t="shared" si="18"/>
        <v>0</v>
      </c>
      <c r="AJ109" s="45">
        <f t="shared" si="18"/>
        <v>0</v>
      </c>
      <c r="AK109" s="45">
        <f t="shared" si="18"/>
        <v>0</v>
      </c>
      <c r="AL109" s="45">
        <f t="shared" si="18"/>
        <v>0</v>
      </c>
      <c r="AM109" s="45">
        <f t="shared" si="18"/>
        <v>0</v>
      </c>
      <c r="AN109" s="45">
        <f t="shared" si="18"/>
        <v>0</v>
      </c>
      <c r="AO109" s="45">
        <f t="shared" si="18"/>
        <v>0</v>
      </c>
      <c r="AP109" s="45">
        <f t="shared" si="18"/>
        <v>0</v>
      </c>
      <c r="AQ109" s="45">
        <f t="shared" si="18"/>
        <v>0</v>
      </c>
      <c r="AR109" s="45">
        <f t="shared" si="18"/>
        <v>0</v>
      </c>
      <c r="AS109" s="45">
        <f t="shared" si="18"/>
        <v>0</v>
      </c>
      <c r="AT109" s="45">
        <f t="shared" si="18"/>
        <v>0</v>
      </c>
      <c r="AU109" s="45">
        <f t="shared" si="18"/>
        <v>0</v>
      </c>
      <c r="AV109" s="45">
        <f t="shared" si="18"/>
        <v>0</v>
      </c>
      <c r="AW109" s="45">
        <f t="shared" si="18"/>
        <v>0</v>
      </c>
      <c r="AX109" s="45">
        <f t="shared" si="18"/>
        <v>0</v>
      </c>
      <c r="AY109" s="45">
        <f t="shared" si="18"/>
        <v>0</v>
      </c>
      <c r="AZ109" s="45">
        <f t="shared" si="18"/>
        <v>0</v>
      </c>
      <c r="BA109" s="45">
        <f t="shared" si="18"/>
        <v>0</v>
      </c>
      <c r="BB109" s="45">
        <f t="shared" si="18"/>
        <v>0</v>
      </c>
    </row>
    <row r="110" spans="3:61" s="43" customFormat="1" hidden="1" outlineLevel="1">
      <c r="C110" s="43" t="s">
        <v>28</v>
      </c>
      <c r="E110" s="46">
        <f>E88-E93-E96-E109</f>
        <v>-55.826060531243137</v>
      </c>
      <c r="F110" s="46">
        <f t="shared" ref="F110:AJ110" si="19">F88-F93-F96-F109</f>
        <v>-40.386819664355087</v>
      </c>
      <c r="G110" s="46">
        <f t="shared" si="19"/>
        <v>-20.038219227598841</v>
      </c>
      <c r="H110" s="46">
        <f t="shared" si="19"/>
        <v>-10.759991388037104</v>
      </c>
      <c r="I110" s="46">
        <f t="shared" si="19"/>
        <v>-10.15708545855016</v>
      </c>
      <c r="J110" s="46">
        <f t="shared" si="19"/>
        <v>8.5679948426946329</v>
      </c>
      <c r="K110" s="46">
        <f t="shared" si="19"/>
        <v>11.641227209478286</v>
      </c>
      <c r="L110" s="46">
        <f t="shared" si="19"/>
        <v>12.118973007210467</v>
      </c>
      <c r="M110" s="46">
        <f t="shared" si="19"/>
        <v>12.620236831173779</v>
      </c>
      <c r="N110" s="46">
        <f t="shared" si="19"/>
        <v>13.14646680359237</v>
      </c>
      <c r="O110" s="46">
        <f t="shared" si="19"/>
        <v>13.699209767469068</v>
      </c>
      <c r="P110" s="46">
        <f t="shared" si="19"/>
        <v>14.157287644217385</v>
      </c>
      <c r="Q110" s="46">
        <f t="shared" si="19"/>
        <v>14.636456665125413</v>
      </c>
      <c r="R110" s="46">
        <f t="shared" si="19"/>
        <v>15.137967533624145</v>
      </c>
      <c r="S110" s="46">
        <f t="shared" si="19"/>
        <v>15.663154953680705</v>
      </c>
      <c r="T110" s="46">
        <f t="shared" si="19"/>
        <v>16.213443540033616</v>
      </c>
      <c r="U110" s="46">
        <f t="shared" si="19"/>
        <v>16.790354150743912</v>
      </c>
      <c r="V110" s="46">
        <f t="shared" si="19"/>
        <v>17.395510672387552</v>
      </c>
      <c r="W110" s="46">
        <f t="shared" si="19"/>
        <v>18.030647290395713</v>
      </c>
      <c r="X110" s="46">
        <f t="shared" si="19"/>
        <v>18.697616279387542</v>
      </c>
      <c r="Y110" s="46">
        <f t="shared" si="19"/>
        <v>0</v>
      </c>
      <c r="Z110" s="46">
        <f t="shared" si="19"/>
        <v>0</v>
      </c>
      <c r="AA110" s="46">
        <f t="shared" si="19"/>
        <v>0</v>
      </c>
      <c r="AB110" s="46">
        <f t="shared" si="19"/>
        <v>0</v>
      </c>
      <c r="AC110" s="46">
        <f t="shared" si="19"/>
        <v>0</v>
      </c>
      <c r="AD110" s="46">
        <f t="shared" si="19"/>
        <v>0</v>
      </c>
      <c r="AE110" s="46">
        <f t="shared" si="19"/>
        <v>0</v>
      </c>
      <c r="AF110" s="46">
        <f t="shared" si="19"/>
        <v>0</v>
      </c>
      <c r="AG110" s="46">
        <f t="shared" si="19"/>
        <v>0</v>
      </c>
      <c r="AH110" s="46">
        <f t="shared" si="19"/>
        <v>0</v>
      </c>
      <c r="AI110" s="46">
        <f t="shared" si="19"/>
        <v>0</v>
      </c>
      <c r="AJ110" s="46">
        <f t="shared" si="19"/>
        <v>0</v>
      </c>
      <c r="AK110" s="46">
        <f t="shared" ref="AK110:BB110" si="20">AK88-AK93-AK96-AK109</f>
        <v>0</v>
      </c>
      <c r="AL110" s="46">
        <f t="shared" si="20"/>
        <v>0</v>
      </c>
      <c r="AM110" s="46">
        <f t="shared" si="20"/>
        <v>0</v>
      </c>
      <c r="AN110" s="46">
        <f t="shared" si="20"/>
        <v>0</v>
      </c>
      <c r="AO110" s="46">
        <f t="shared" si="20"/>
        <v>0</v>
      </c>
      <c r="AP110" s="46">
        <f t="shared" si="20"/>
        <v>0</v>
      </c>
      <c r="AQ110" s="46">
        <f t="shared" si="20"/>
        <v>0</v>
      </c>
      <c r="AR110" s="46">
        <f t="shared" si="20"/>
        <v>0</v>
      </c>
      <c r="AS110" s="46">
        <f t="shared" si="20"/>
        <v>0</v>
      </c>
      <c r="AT110" s="46">
        <f t="shared" si="20"/>
        <v>0</v>
      </c>
      <c r="AU110" s="46">
        <f t="shared" si="20"/>
        <v>0</v>
      </c>
      <c r="AV110" s="46">
        <f t="shared" si="20"/>
        <v>0</v>
      </c>
      <c r="AW110" s="46">
        <f t="shared" si="20"/>
        <v>0</v>
      </c>
      <c r="AX110" s="46">
        <f t="shared" si="20"/>
        <v>0</v>
      </c>
      <c r="AY110" s="46">
        <f t="shared" si="20"/>
        <v>0</v>
      </c>
      <c r="AZ110" s="46">
        <f t="shared" si="20"/>
        <v>0</v>
      </c>
      <c r="BA110" s="46">
        <f t="shared" si="20"/>
        <v>0</v>
      </c>
      <c r="BB110" s="46">
        <f t="shared" si="20"/>
        <v>0</v>
      </c>
    </row>
    <row r="111" spans="3:61" s="47" customFormat="1" hidden="1" outlineLevel="1">
      <c r="C111" s="47" t="s">
        <v>29</v>
      </c>
      <c r="E111" s="48">
        <f t="shared" ref="E111:AJ111" si="21">Tax_Rate*E110-SUM(E99:E100)</f>
        <v>-27.333809266670642</v>
      </c>
      <c r="F111" s="48">
        <f t="shared" si="21"/>
        <v>-21.08091671558098</v>
      </c>
      <c r="G111" s="48">
        <f t="shared" si="21"/>
        <v>-12.8397335386947</v>
      </c>
      <c r="H111" s="48">
        <f t="shared" si="21"/>
        <v>-9.0820512636721951</v>
      </c>
      <c r="I111" s="48">
        <f t="shared" si="21"/>
        <v>-8.837874362229984</v>
      </c>
      <c r="J111" s="48">
        <f t="shared" si="21"/>
        <v>-1.2542168402258422</v>
      </c>
      <c r="K111" s="48">
        <f t="shared" si="21"/>
        <v>-9.5577316784627442E-3</v>
      </c>
      <c r="L111" s="48">
        <f t="shared" si="21"/>
        <v>0.18392931640307086</v>
      </c>
      <c r="M111" s="48">
        <f t="shared" si="21"/>
        <v>0.38694116510821175</v>
      </c>
      <c r="N111" s="48">
        <f t="shared" si="21"/>
        <v>0.60006430393774135</v>
      </c>
      <c r="O111" s="48">
        <f t="shared" si="21"/>
        <v>5.5481799558249731</v>
      </c>
      <c r="P111" s="48">
        <f t="shared" si="21"/>
        <v>5.7337014959080417</v>
      </c>
      <c r="Q111" s="48">
        <f t="shared" si="21"/>
        <v>5.9277649493757929</v>
      </c>
      <c r="R111" s="48">
        <f t="shared" si="21"/>
        <v>6.1308768511177796</v>
      </c>
      <c r="S111" s="48">
        <f t="shared" si="21"/>
        <v>6.3435777562406859</v>
      </c>
      <c r="T111" s="48">
        <f t="shared" si="21"/>
        <v>6.5664446337136146</v>
      </c>
      <c r="U111" s="48">
        <f t="shared" si="21"/>
        <v>6.8000934310512848</v>
      </c>
      <c r="V111" s="48">
        <f t="shared" si="21"/>
        <v>7.0451818223169589</v>
      </c>
      <c r="W111" s="48">
        <f t="shared" si="21"/>
        <v>7.3024121526102643</v>
      </c>
      <c r="X111" s="48">
        <f t="shared" si="21"/>
        <v>7.5725345931519552</v>
      </c>
      <c r="Y111" s="48">
        <f t="shared" si="21"/>
        <v>0</v>
      </c>
      <c r="Z111" s="48">
        <f t="shared" si="21"/>
        <v>0</v>
      </c>
      <c r="AA111" s="48">
        <f t="shared" si="21"/>
        <v>0</v>
      </c>
      <c r="AB111" s="48">
        <f t="shared" si="21"/>
        <v>0</v>
      </c>
      <c r="AC111" s="48">
        <f t="shared" si="21"/>
        <v>0</v>
      </c>
      <c r="AD111" s="48">
        <f t="shared" si="21"/>
        <v>0</v>
      </c>
      <c r="AE111" s="48">
        <f t="shared" si="21"/>
        <v>0</v>
      </c>
      <c r="AF111" s="48">
        <f t="shared" si="21"/>
        <v>0</v>
      </c>
      <c r="AG111" s="48">
        <f t="shared" si="21"/>
        <v>0</v>
      </c>
      <c r="AH111" s="48">
        <f t="shared" si="21"/>
        <v>0</v>
      </c>
      <c r="AI111" s="48">
        <f t="shared" si="21"/>
        <v>0</v>
      </c>
      <c r="AJ111" s="48">
        <f t="shared" si="21"/>
        <v>0</v>
      </c>
      <c r="AK111" s="48">
        <f t="shared" ref="AK111:BB111" si="22">Tax_Rate*AK110-SUM(AK99:AK100)</f>
        <v>0</v>
      </c>
      <c r="AL111" s="48">
        <f t="shared" si="22"/>
        <v>0</v>
      </c>
      <c r="AM111" s="48">
        <f t="shared" si="22"/>
        <v>0</v>
      </c>
      <c r="AN111" s="48">
        <f t="shared" si="22"/>
        <v>0</v>
      </c>
      <c r="AO111" s="48">
        <f t="shared" si="22"/>
        <v>0</v>
      </c>
      <c r="AP111" s="48">
        <f t="shared" si="22"/>
        <v>0</v>
      </c>
      <c r="AQ111" s="48">
        <f t="shared" si="22"/>
        <v>0</v>
      </c>
      <c r="AR111" s="48">
        <f t="shared" si="22"/>
        <v>0</v>
      </c>
      <c r="AS111" s="48">
        <f t="shared" si="22"/>
        <v>0</v>
      </c>
      <c r="AT111" s="48">
        <f t="shared" si="22"/>
        <v>0</v>
      </c>
      <c r="AU111" s="48">
        <f t="shared" si="22"/>
        <v>0</v>
      </c>
      <c r="AV111" s="48">
        <f t="shared" si="22"/>
        <v>0</v>
      </c>
      <c r="AW111" s="48">
        <f t="shared" si="22"/>
        <v>0</v>
      </c>
      <c r="AX111" s="48">
        <f t="shared" si="22"/>
        <v>0</v>
      </c>
      <c r="AY111" s="48">
        <f t="shared" si="22"/>
        <v>0</v>
      </c>
      <c r="AZ111" s="48">
        <f t="shared" si="22"/>
        <v>0</v>
      </c>
      <c r="BA111" s="48">
        <f t="shared" si="22"/>
        <v>0</v>
      </c>
      <c r="BB111" s="48">
        <f t="shared" si="22"/>
        <v>0</v>
      </c>
    </row>
    <row r="112" spans="3:61" s="47" customFormat="1" hidden="1" outlineLevel="1">
      <c r="C112" s="49" t="str">
        <f>C124</f>
        <v>ROE Payments ($m)</v>
      </c>
      <c r="E112" s="50">
        <f t="shared" ref="E112:BB112" si="23">E124</f>
        <v>5.377129974295932</v>
      </c>
      <c r="F112" s="50">
        <f t="shared" si="23"/>
        <v>9.2490316742168837</v>
      </c>
      <c r="G112" s="50">
        <f t="shared" si="23"/>
        <v>8.1030227499659375</v>
      </c>
      <c r="H112" s="50">
        <f t="shared" si="23"/>
        <v>7.3119403384921355</v>
      </c>
      <c r="I112" s="50">
        <f t="shared" si="23"/>
        <v>6.6513845976337969</v>
      </c>
      <c r="J112" s="50">
        <f t="shared" si="23"/>
        <v>5.9332392673324348</v>
      </c>
      <c r="K112" s="50">
        <f t="shared" si="23"/>
        <v>5.567053842466291</v>
      </c>
      <c r="L112" s="50">
        <f t="shared" si="23"/>
        <v>5.2233230353902798</v>
      </c>
      <c r="M112" s="50">
        <f t="shared" si="23"/>
        <v>4.844110818359213</v>
      </c>
      <c r="N112" s="50">
        <f t="shared" si="23"/>
        <v>4.4266218744638035</v>
      </c>
      <c r="O112" s="50">
        <f t="shared" si="23"/>
        <v>3.9678542691405219</v>
      </c>
      <c r="P112" s="50">
        <f t="shared" si="23"/>
        <v>3.7315048509890696</v>
      </c>
      <c r="Q112" s="50">
        <f t="shared" si="23"/>
        <v>3.4664022576904743</v>
      </c>
      <c r="R112" s="50">
        <f t="shared" si="23"/>
        <v>3.1702129033101323</v>
      </c>
      <c r="S112" s="50">
        <f t="shared" si="23"/>
        <v>2.840429308785545</v>
      </c>
      <c r="T112" s="50">
        <f t="shared" si="23"/>
        <v>2.4743574530765673</v>
      </c>
      <c r="U112" s="50">
        <f t="shared" si="23"/>
        <v>2.0691032109683136</v>
      </c>
      <c r="V112" s="50">
        <f t="shared" si="23"/>
        <v>1.6215578117253897</v>
      </c>
      <c r="W112" s="50">
        <f t="shared" si="23"/>
        <v>1.1283822480588859</v>
      </c>
      <c r="X112" s="50">
        <f t="shared" si="23"/>
        <v>0.58599055978933512</v>
      </c>
      <c r="Y112" s="50">
        <f t="shared" si="23"/>
        <v>0</v>
      </c>
      <c r="Z112" s="50">
        <f t="shared" si="23"/>
        <v>0</v>
      </c>
      <c r="AA112" s="50">
        <f t="shared" si="23"/>
        <v>0</v>
      </c>
      <c r="AB112" s="50">
        <f t="shared" si="23"/>
        <v>0</v>
      </c>
      <c r="AC112" s="50">
        <f t="shared" si="23"/>
        <v>0</v>
      </c>
      <c r="AD112" s="50">
        <f t="shared" si="23"/>
        <v>0</v>
      </c>
      <c r="AE112" s="50">
        <f t="shared" si="23"/>
        <v>0</v>
      </c>
      <c r="AF112" s="50">
        <f t="shared" si="23"/>
        <v>0</v>
      </c>
      <c r="AG112" s="50">
        <f t="shared" si="23"/>
        <v>0</v>
      </c>
      <c r="AH112" s="50">
        <f t="shared" si="23"/>
        <v>0</v>
      </c>
      <c r="AI112" s="50">
        <f t="shared" si="23"/>
        <v>0</v>
      </c>
      <c r="AJ112" s="50">
        <f t="shared" si="23"/>
        <v>0</v>
      </c>
      <c r="AK112" s="50">
        <f t="shared" si="23"/>
        <v>0</v>
      </c>
      <c r="AL112" s="50">
        <f t="shared" si="23"/>
        <v>0</v>
      </c>
      <c r="AM112" s="50">
        <f t="shared" si="23"/>
        <v>0</v>
      </c>
      <c r="AN112" s="50">
        <f t="shared" si="23"/>
        <v>0</v>
      </c>
      <c r="AO112" s="50">
        <f t="shared" si="23"/>
        <v>0</v>
      </c>
      <c r="AP112" s="50">
        <f t="shared" si="23"/>
        <v>0</v>
      </c>
      <c r="AQ112" s="50">
        <f t="shared" si="23"/>
        <v>0</v>
      </c>
      <c r="AR112" s="50">
        <f t="shared" si="23"/>
        <v>0</v>
      </c>
      <c r="AS112" s="50">
        <f t="shared" si="23"/>
        <v>0</v>
      </c>
      <c r="AT112" s="50">
        <f t="shared" si="23"/>
        <v>0</v>
      </c>
      <c r="AU112" s="50">
        <f t="shared" si="23"/>
        <v>0</v>
      </c>
      <c r="AV112" s="50">
        <f t="shared" si="23"/>
        <v>0</v>
      </c>
      <c r="AW112" s="50">
        <f t="shared" si="23"/>
        <v>0</v>
      </c>
      <c r="AX112" s="50">
        <f t="shared" si="23"/>
        <v>0</v>
      </c>
      <c r="AY112" s="50">
        <f t="shared" si="23"/>
        <v>0</v>
      </c>
      <c r="AZ112" s="50">
        <f t="shared" si="23"/>
        <v>0</v>
      </c>
      <c r="BA112" s="50">
        <f t="shared" si="23"/>
        <v>0</v>
      </c>
      <c r="BB112" s="50">
        <f t="shared" si="23"/>
        <v>0</v>
      </c>
    </row>
    <row r="113" spans="3:54" s="51" customFormat="1" hidden="1" outlineLevel="1">
      <c r="C113" s="51" t="s">
        <v>30</v>
      </c>
      <c r="E113" s="52">
        <f t="shared" ref="E113:AJ113" si="24">E88-E93-E109-E111-E112</f>
        <v>31.874455089074239</v>
      </c>
      <c r="F113" s="52">
        <f t="shared" si="24"/>
        <v>20.283343792052133</v>
      </c>
      <c r="G113" s="52">
        <f t="shared" si="24"/>
        <v>14.001458610155794</v>
      </c>
      <c r="H113" s="52">
        <f t="shared" si="24"/>
        <v>11.691252050590062</v>
      </c>
      <c r="I113" s="52">
        <f t="shared" si="24"/>
        <v>12.710536819493132</v>
      </c>
      <c r="J113" s="52">
        <f t="shared" si="24"/>
        <v>6.4811579622326372</v>
      </c>
      <c r="K113" s="52">
        <f t="shared" si="24"/>
        <v>6.0837310986904578</v>
      </c>
      <c r="L113" s="52">
        <f t="shared" si="24"/>
        <v>6.7117206554171176</v>
      </c>
      <c r="M113" s="52">
        <f t="shared" si="24"/>
        <v>7.3891848477063542</v>
      </c>
      <c r="N113" s="52">
        <f t="shared" si="24"/>
        <v>8.1197806251908258</v>
      </c>
      <c r="O113" s="52">
        <f t="shared" si="24"/>
        <v>4.1831755425035713</v>
      </c>
      <c r="P113" s="52">
        <f t="shared" si="24"/>
        <v>4.6920812973202741</v>
      </c>
      <c r="Q113" s="52">
        <f t="shared" si="24"/>
        <v>5.2422894580591457</v>
      </c>
      <c r="R113" s="52">
        <f t="shared" si="24"/>
        <v>5.8368777791962341</v>
      </c>
      <c r="S113" s="52">
        <f t="shared" si="24"/>
        <v>6.4791478886544738</v>
      </c>
      <c r="T113" s="52">
        <f t="shared" si="24"/>
        <v>7.1726414532434326</v>
      </c>
      <c r="U113" s="52">
        <f t="shared" si="24"/>
        <v>7.9211575087243151</v>
      </c>
      <c r="V113" s="52">
        <f t="shared" si="24"/>
        <v>8.7287710383452026</v>
      </c>
      <c r="W113" s="52">
        <f t="shared" si="24"/>
        <v>9.5998528897265629</v>
      </c>
      <c r="X113" s="52">
        <f t="shared" si="24"/>
        <v>10.539091126446252</v>
      </c>
      <c r="Y113" s="52">
        <f t="shared" si="24"/>
        <v>0</v>
      </c>
      <c r="Z113" s="52">
        <f t="shared" si="24"/>
        <v>0</v>
      </c>
      <c r="AA113" s="52">
        <f t="shared" si="24"/>
        <v>0</v>
      </c>
      <c r="AB113" s="52">
        <f t="shared" si="24"/>
        <v>0</v>
      </c>
      <c r="AC113" s="52">
        <f t="shared" si="24"/>
        <v>0</v>
      </c>
      <c r="AD113" s="52">
        <f t="shared" si="24"/>
        <v>0</v>
      </c>
      <c r="AE113" s="52">
        <f t="shared" si="24"/>
        <v>0</v>
      </c>
      <c r="AF113" s="52">
        <f t="shared" si="24"/>
        <v>0</v>
      </c>
      <c r="AG113" s="52">
        <f t="shared" si="24"/>
        <v>0</v>
      </c>
      <c r="AH113" s="52">
        <f t="shared" si="24"/>
        <v>0</v>
      </c>
      <c r="AI113" s="52">
        <f t="shared" si="24"/>
        <v>0</v>
      </c>
      <c r="AJ113" s="52">
        <f t="shared" si="24"/>
        <v>0</v>
      </c>
      <c r="AK113" s="52">
        <f t="shared" ref="AK113:BB113" si="25">AK88-AK93-AK109-AK111-AK112</f>
        <v>0</v>
      </c>
      <c r="AL113" s="52">
        <f t="shared" si="25"/>
        <v>0</v>
      </c>
      <c r="AM113" s="52">
        <f t="shared" si="25"/>
        <v>0</v>
      </c>
      <c r="AN113" s="52">
        <f t="shared" si="25"/>
        <v>0</v>
      </c>
      <c r="AO113" s="52">
        <f t="shared" si="25"/>
        <v>0</v>
      </c>
      <c r="AP113" s="52">
        <f t="shared" si="25"/>
        <v>0</v>
      </c>
      <c r="AQ113" s="52">
        <f t="shared" si="25"/>
        <v>0</v>
      </c>
      <c r="AR113" s="52">
        <f t="shared" si="25"/>
        <v>0</v>
      </c>
      <c r="AS113" s="52">
        <f t="shared" si="25"/>
        <v>0</v>
      </c>
      <c r="AT113" s="52">
        <f t="shared" si="25"/>
        <v>0</v>
      </c>
      <c r="AU113" s="52">
        <f t="shared" si="25"/>
        <v>0</v>
      </c>
      <c r="AV113" s="52">
        <f t="shared" si="25"/>
        <v>0</v>
      </c>
      <c r="AW113" s="52">
        <f t="shared" si="25"/>
        <v>0</v>
      </c>
      <c r="AX113" s="52">
        <f t="shared" si="25"/>
        <v>0</v>
      </c>
      <c r="AY113" s="52">
        <f t="shared" si="25"/>
        <v>0</v>
      </c>
      <c r="AZ113" s="52">
        <f t="shared" si="25"/>
        <v>0</v>
      </c>
      <c r="BA113" s="52">
        <f t="shared" si="25"/>
        <v>0</v>
      </c>
      <c r="BB113" s="52">
        <f t="shared" si="25"/>
        <v>0</v>
      </c>
    </row>
    <row r="114" spans="3:54" s="43" customFormat="1" hidden="1" outlineLevel="1">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row>
    <row r="115" spans="3:54" s="43" customFormat="1" hidden="1" outlineLevel="1">
      <c r="C115" s="54" t="s">
        <v>31</v>
      </c>
      <c r="E115" s="46">
        <f>IF(E$82&lt;=Economic_Life,D115-D117,0)</f>
        <v>97.787065369465296</v>
      </c>
      <c r="F115" s="46">
        <f t="shared" ref="F115:AJ115" si="26">IF(F$82&lt;=Economic_Life,E115-E117,0)</f>
        <v>81.849837824928173</v>
      </c>
      <c r="G115" s="46">
        <f t="shared" si="26"/>
        <v>71.708165928902105</v>
      </c>
      <c r="H115" s="46">
        <f t="shared" ref="H115:N115" si="27">IF(H$82&lt;=Economic_Life,G115-G117,0)</f>
        <v>64.707436623824208</v>
      </c>
      <c r="I115" s="46">
        <f t="shared" si="27"/>
        <v>58.861810598529175</v>
      </c>
      <c r="J115" s="46">
        <f t="shared" si="27"/>
        <v>52.50654218878261</v>
      </c>
      <c r="K115" s="46">
        <f t="shared" si="27"/>
        <v>49.265963207666289</v>
      </c>
      <c r="L115" s="46">
        <f t="shared" si="27"/>
        <v>46.224097658321057</v>
      </c>
      <c r="M115" s="46">
        <f t="shared" si="27"/>
        <v>42.868237330612502</v>
      </c>
      <c r="N115" s="46">
        <f t="shared" si="27"/>
        <v>39.173644906759321</v>
      </c>
      <c r="O115" s="46">
        <f t="shared" si="26"/>
        <v>35.113754594163908</v>
      </c>
      <c r="P115" s="46">
        <f t="shared" si="26"/>
        <v>33.022166822912119</v>
      </c>
      <c r="Q115" s="46">
        <f t="shared" si="26"/>
        <v>30.676126174251984</v>
      </c>
      <c r="R115" s="46">
        <f t="shared" si="26"/>
        <v>28.05498144522241</v>
      </c>
      <c r="S115" s="46">
        <f t="shared" si="26"/>
        <v>25.136542555624292</v>
      </c>
      <c r="T115" s="46">
        <f t="shared" si="26"/>
        <v>21.896968611297055</v>
      </c>
      <c r="U115" s="46">
        <f t="shared" si="26"/>
        <v>18.31064788467534</v>
      </c>
      <c r="V115" s="46">
        <f t="shared" si="26"/>
        <v>14.350069130313184</v>
      </c>
      <c r="W115" s="46">
        <f t="shared" si="26"/>
        <v>9.9856836111405833</v>
      </c>
      <c r="X115" s="46">
        <f t="shared" si="26"/>
        <v>5.1857571662773019</v>
      </c>
      <c r="Y115" s="46">
        <f t="shared" si="26"/>
        <v>0</v>
      </c>
      <c r="Z115" s="46">
        <f t="shared" si="26"/>
        <v>0</v>
      </c>
      <c r="AA115" s="46">
        <f t="shared" si="26"/>
        <v>0</v>
      </c>
      <c r="AB115" s="46">
        <f t="shared" si="26"/>
        <v>0</v>
      </c>
      <c r="AC115" s="46">
        <f t="shared" si="26"/>
        <v>0</v>
      </c>
      <c r="AD115" s="46">
        <f t="shared" si="26"/>
        <v>0</v>
      </c>
      <c r="AE115" s="46">
        <f t="shared" si="26"/>
        <v>0</v>
      </c>
      <c r="AF115" s="46">
        <f t="shared" si="26"/>
        <v>0</v>
      </c>
      <c r="AG115" s="46">
        <f t="shared" si="26"/>
        <v>0</v>
      </c>
      <c r="AH115" s="46">
        <f t="shared" si="26"/>
        <v>0</v>
      </c>
      <c r="AI115" s="46">
        <f t="shared" si="26"/>
        <v>0</v>
      </c>
      <c r="AJ115" s="46">
        <f t="shared" si="26"/>
        <v>0</v>
      </c>
      <c r="AK115" s="46">
        <f t="shared" ref="AK115:BB115" si="28">IF(AK$82&lt;=Economic_Life,AJ115-AJ117,0)</f>
        <v>0</v>
      </c>
      <c r="AL115" s="46">
        <f t="shared" si="28"/>
        <v>0</v>
      </c>
      <c r="AM115" s="46">
        <f t="shared" si="28"/>
        <v>0</v>
      </c>
      <c r="AN115" s="46">
        <f t="shared" si="28"/>
        <v>0</v>
      </c>
      <c r="AO115" s="46">
        <f t="shared" si="28"/>
        <v>0</v>
      </c>
      <c r="AP115" s="46">
        <f t="shared" si="28"/>
        <v>0</v>
      </c>
      <c r="AQ115" s="46">
        <f t="shared" si="28"/>
        <v>0</v>
      </c>
      <c r="AR115" s="46">
        <f t="shared" si="28"/>
        <v>0</v>
      </c>
      <c r="AS115" s="46">
        <f t="shared" si="28"/>
        <v>0</v>
      </c>
      <c r="AT115" s="46">
        <f t="shared" si="28"/>
        <v>0</v>
      </c>
      <c r="AU115" s="46">
        <f t="shared" si="28"/>
        <v>0</v>
      </c>
      <c r="AV115" s="46">
        <f t="shared" si="28"/>
        <v>0</v>
      </c>
      <c r="AW115" s="46">
        <f t="shared" si="28"/>
        <v>0</v>
      </c>
      <c r="AX115" s="46">
        <f t="shared" si="28"/>
        <v>0</v>
      </c>
      <c r="AY115" s="46">
        <f t="shared" si="28"/>
        <v>0</v>
      </c>
      <c r="AZ115" s="46">
        <f t="shared" si="28"/>
        <v>0</v>
      </c>
      <c r="BA115" s="46">
        <f t="shared" si="28"/>
        <v>0</v>
      </c>
      <c r="BB115" s="46">
        <f t="shared" si="28"/>
        <v>0</v>
      </c>
    </row>
    <row r="116" spans="3:54" s="43" customFormat="1" hidden="1" outlineLevel="1">
      <c r="C116" s="43" t="s">
        <v>32</v>
      </c>
      <c r="E116" s="55">
        <f>E115*((1+Debt_Rate)^0.5-1)</f>
        <v>2.5102440737985647</v>
      </c>
      <c r="F116" s="46">
        <f>F115*Debt_Rate</f>
        <v>4.2561915668962644</v>
      </c>
      <c r="G116" s="46">
        <f t="shared" ref="G116:BB116" si="29">G115*Debt_Rate</f>
        <v>3.7288246283029092</v>
      </c>
      <c r="H116" s="46">
        <f t="shared" si="29"/>
        <v>3.3647867044388589</v>
      </c>
      <c r="I116" s="46">
        <f t="shared" si="29"/>
        <v>3.060814151123517</v>
      </c>
      <c r="J116" s="46">
        <f t="shared" si="29"/>
        <v>2.7303401938166956</v>
      </c>
      <c r="K116" s="46">
        <f t="shared" si="29"/>
        <v>2.561830086798647</v>
      </c>
      <c r="L116" s="46">
        <f t="shared" si="29"/>
        <v>2.4036530782326948</v>
      </c>
      <c r="M116" s="46">
        <f t="shared" si="29"/>
        <v>2.2291483411918498</v>
      </c>
      <c r="N116" s="46">
        <f t="shared" si="29"/>
        <v>2.0370295351514844</v>
      </c>
      <c r="O116" s="46">
        <f t="shared" si="29"/>
        <v>1.8259152388965232</v>
      </c>
      <c r="P116" s="46">
        <f t="shared" si="29"/>
        <v>1.7171526747914301</v>
      </c>
      <c r="Q116" s="46">
        <f t="shared" si="29"/>
        <v>1.595158561061103</v>
      </c>
      <c r="R116" s="46">
        <f t="shared" si="29"/>
        <v>1.4588590351515653</v>
      </c>
      <c r="S116" s="46">
        <f t="shared" si="29"/>
        <v>1.3071002128924631</v>
      </c>
      <c r="T116" s="46">
        <f t="shared" si="29"/>
        <v>1.1386423677874469</v>
      </c>
      <c r="U116" s="46">
        <f t="shared" si="29"/>
        <v>0.95215369000311767</v>
      </c>
      <c r="V116" s="46">
        <f t="shared" si="29"/>
        <v>0.74620359477628551</v>
      </c>
      <c r="W116" s="46">
        <f t="shared" si="29"/>
        <v>0.51925554777931027</v>
      </c>
      <c r="X116" s="46">
        <f t="shared" si="29"/>
        <v>0.2696593726464197</v>
      </c>
      <c r="Y116" s="46">
        <f t="shared" si="29"/>
        <v>0</v>
      </c>
      <c r="Z116" s="46">
        <f t="shared" si="29"/>
        <v>0</v>
      </c>
      <c r="AA116" s="46">
        <f t="shared" si="29"/>
        <v>0</v>
      </c>
      <c r="AB116" s="46">
        <f t="shared" si="29"/>
        <v>0</v>
      </c>
      <c r="AC116" s="46">
        <f t="shared" si="29"/>
        <v>0</v>
      </c>
      <c r="AD116" s="46">
        <f t="shared" si="29"/>
        <v>0</v>
      </c>
      <c r="AE116" s="46">
        <f t="shared" si="29"/>
        <v>0</v>
      </c>
      <c r="AF116" s="46">
        <f t="shared" si="29"/>
        <v>0</v>
      </c>
      <c r="AG116" s="46">
        <f t="shared" si="29"/>
        <v>0</v>
      </c>
      <c r="AH116" s="46">
        <f t="shared" si="29"/>
        <v>0</v>
      </c>
      <c r="AI116" s="46">
        <f t="shared" si="29"/>
        <v>0</v>
      </c>
      <c r="AJ116" s="46">
        <f t="shared" si="29"/>
        <v>0</v>
      </c>
      <c r="AK116" s="46">
        <f t="shared" si="29"/>
        <v>0</v>
      </c>
      <c r="AL116" s="46">
        <f t="shared" si="29"/>
        <v>0</v>
      </c>
      <c r="AM116" s="46">
        <f t="shared" si="29"/>
        <v>0</v>
      </c>
      <c r="AN116" s="46">
        <f t="shared" si="29"/>
        <v>0</v>
      </c>
      <c r="AO116" s="46">
        <f t="shared" si="29"/>
        <v>0</v>
      </c>
      <c r="AP116" s="46">
        <f t="shared" si="29"/>
        <v>0</v>
      </c>
      <c r="AQ116" s="46">
        <f t="shared" si="29"/>
        <v>0</v>
      </c>
      <c r="AR116" s="46">
        <f t="shared" si="29"/>
        <v>0</v>
      </c>
      <c r="AS116" s="46">
        <f t="shared" si="29"/>
        <v>0</v>
      </c>
      <c r="AT116" s="46">
        <f t="shared" si="29"/>
        <v>0</v>
      </c>
      <c r="AU116" s="46">
        <f t="shared" si="29"/>
        <v>0</v>
      </c>
      <c r="AV116" s="46">
        <f t="shared" si="29"/>
        <v>0</v>
      </c>
      <c r="AW116" s="46">
        <f t="shared" si="29"/>
        <v>0</v>
      </c>
      <c r="AX116" s="46">
        <f t="shared" si="29"/>
        <v>0</v>
      </c>
      <c r="AY116" s="46">
        <f t="shared" si="29"/>
        <v>0</v>
      </c>
      <c r="AZ116" s="46">
        <f t="shared" si="29"/>
        <v>0</v>
      </c>
      <c r="BA116" s="46">
        <f t="shared" si="29"/>
        <v>0</v>
      </c>
      <c r="BB116" s="46">
        <f t="shared" si="29"/>
        <v>0</v>
      </c>
    </row>
    <row r="117" spans="3:54" s="43" customFormat="1" hidden="1" outlineLevel="1">
      <c r="C117" s="43" t="s">
        <v>33</v>
      </c>
      <c r="D117" s="56">
        <f>-Debt_Fraction*Plant_Capacity*Installed_Cost/10^3</f>
        <v>-97.787065369465296</v>
      </c>
      <c r="E117" s="46">
        <f>E113*Debt_Fraction</f>
        <v>15.937227544537119</v>
      </c>
      <c r="F117" s="46">
        <f>F113*Debt_Fraction</f>
        <v>10.141671896026066</v>
      </c>
      <c r="G117" s="46">
        <f t="shared" ref="G117:BB117" si="30">G113*Debt_Fraction</f>
        <v>7.0007293050778969</v>
      </c>
      <c r="H117" s="46">
        <f t="shared" si="30"/>
        <v>5.8456260252950312</v>
      </c>
      <c r="I117" s="46">
        <f t="shared" si="30"/>
        <v>6.3552684097465661</v>
      </c>
      <c r="J117" s="46">
        <f t="shared" si="30"/>
        <v>3.2405789811163186</v>
      </c>
      <c r="K117" s="46">
        <f t="shared" si="30"/>
        <v>3.0418655493452289</v>
      </c>
      <c r="L117" s="46">
        <f t="shared" si="30"/>
        <v>3.3558603277085588</v>
      </c>
      <c r="M117" s="46">
        <f t="shared" si="30"/>
        <v>3.6945924238531771</v>
      </c>
      <c r="N117" s="46">
        <f t="shared" si="30"/>
        <v>4.0598903125954129</v>
      </c>
      <c r="O117" s="46">
        <f t="shared" si="30"/>
        <v>2.0915877712517856</v>
      </c>
      <c r="P117" s="46">
        <f t="shared" si="30"/>
        <v>2.3460406486601371</v>
      </c>
      <c r="Q117" s="46">
        <f t="shared" si="30"/>
        <v>2.6211447290295729</v>
      </c>
      <c r="R117" s="46">
        <f t="shared" si="30"/>
        <v>2.918438889598117</v>
      </c>
      <c r="S117" s="46">
        <f t="shared" si="30"/>
        <v>3.2395739443272369</v>
      </c>
      <c r="T117" s="46">
        <f t="shared" si="30"/>
        <v>3.5863207266217163</v>
      </c>
      <c r="U117" s="46">
        <f t="shared" si="30"/>
        <v>3.9605787543621576</v>
      </c>
      <c r="V117" s="46">
        <f t="shared" si="30"/>
        <v>4.3643855191726013</v>
      </c>
      <c r="W117" s="46">
        <f t="shared" si="30"/>
        <v>4.7999264448632815</v>
      </c>
      <c r="X117" s="46">
        <f t="shared" si="30"/>
        <v>5.2695455632231258</v>
      </c>
      <c r="Y117" s="46">
        <f t="shared" si="30"/>
        <v>0</v>
      </c>
      <c r="Z117" s="46">
        <f t="shared" si="30"/>
        <v>0</v>
      </c>
      <c r="AA117" s="46">
        <f t="shared" si="30"/>
        <v>0</v>
      </c>
      <c r="AB117" s="46">
        <f t="shared" si="30"/>
        <v>0</v>
      </c>
      <c r="AC117" s="46">
        <f t="shared" si="30"/>
        <v>0</v>
      </c>
      <c r="AD117" s="46">
        <f t="shared" si="30"/>
        <v>0</v>
      </c>
      <c r="AE117" s="46">
        <f t="shared" si="30"/>
        <v>0</v>
      </c>
      <c r="AF117" s="46">
        <f t="shared" si="30"/>
        <v>0</v>
      </c>
      <c r="AG117" s="46">
        <f t="shared" si="30"/>
        <v>0</v>
      </c>
      <c r="AH117" s="46">
        <f t="shared" si="30"/>
        <v>0</v>
      </c>
      <c r="AI117" s="46">
        <f t="shared" si="30"/>
        <v>0</v>
      </c>
      <c r="AJ117" s="46">
        <f t="shared" si="30"/>
        <v>0</v>
      </c>
      <c r="AK117" s="46">
        <f t="shared" si="30"/>
        <v>0</v>
      </c>
      <c r="AL117" s="46">
        <f t="shared" si="30"/>
        <v>0</v>
      </c>
      <c r="AM117" s="46">
        <f t="shared" si="30"/>
        <v>0</v>
      </c>
      <c r="AN117" s="46">
        <f t="shared" si="30"/>
        <v>0</v>
      </c>
      <c r="AO117" s="46">
        <f t="shared" si="30"/>
        <v>0</v>
      </c>
      <c r="AP117" s="46">
        <f t="shared" si="30"/>
        <v>0</v>
      </c>
      <c r="AQ117" s="46">
        <f t="shared" si="30"/>
        <v>0</v>
      </c>
      <c r="AR117" s="46">
        <f t="shared" si="30"/>
        <v>0</v>
      </c>
      <c r="AS117" s="46">
        <f t="shared" si="30"/>
        <v>0</v>
      </c>
      <c r="AT117" s="46">
        <f t="shared" si="30"/>
        <v>0</v>
      </c>
      <c r="AU117" s="46">
        <f t="shared" si="30"/>
        <v>0</v>
      </c>
      <c r="AV117" s="46">
        <f t="shared" si="30"/>
        <v>0</v>
      </c>
      <c r="AW117" s="46">
        <f t="shared" si="30"/>
        <v>0</v>
      </c>
      <c r="AX117" s="46">
        <f t="shared" si="30"/>
        <v>0</v>
      </c>
      <c r="AY117" s="46">
        <f t="shared" si="30"/>
        <v>0</v>
      </c>
      <c r="AZ117" s="46">
        <f t="shared" si="30"/>
        <v>0</v>
      </c>
      <c r="BA117" s="46">
        <f t="shared" si="30"/>
        <v>0</v>
      </c>
      <c r="BB117" s="46">
        <f t="shared" si="30"/>
        <v>0</v>
      </c>
    </row>
    <row r="118" spans="3:54" s="57" customFormat="1" hidden="1" outlineLevel="1">
      <c r="C118" s="57" t="s">
        <v>34</v>
      </c>
      <c r="D118" s="58">
        <f>D116+D117</f>
        <v>-97.787065369465296</v>
      </c>
      <c r="E118" s="58">
        <f>E116+E117</f>
        <v>18.447471618335683</v>
      </c>
      <c r="F118" s="58">
        <f>F116+F117</f>
        <v>14.397863462922331</v>
      </c>
      <c r="G118" s="58">
        <f t="shared" ref="G118:BB118" si="31">G116+G117</f>
        <v>10.729553933380807</v>
      </c>
      <c r="H118" s="58">
        <f t="shared" si="31"/>
        <v>9.2104127297338891</v>
      </c>
      <c r="I118" s="58">
        <f t="shared" si="31"/>
        <v>9.416082560870084</v>
      </c>
      <c r="J118" s="58">
        <f t="shared" si="31"/>
        <v>5.9709191749330142</v>
      </c>
      <c r="K118" s="58">
        <f t="shared" si="31"/>
        <v>5.6036956361438754</v>
      </c>
      <c r="L118" s="58">
        <f t="shared" si="31"/>
        <v>5.759513405941254</v>
      </c>
      <c r="M118" s="58">
        <f t="shared" si="31"/>
        <v>5.9237407650450269</v>
      </c>
      <c r="N118" s="58">
        <f t="shared" si="31"/>
        <v>6.0969198477468973</v>
      </c>
      <c r="O118" s="58">
        <f t="shared" si="31"/>
        <v>3.9175030101483088</v>
      </c>
      <c r="P118" s="58">
        <f t="shared" si="31"/>
        <v>4.0631933234515669</v>
      </c>
      <c r="Q118" s="58">
        <f t="shared" si="31"/>
        <v>4.2163032900906758</v>
      </c>
      <c r="R118" s="58">
        <f t="shared" si="31"/>
        <v>4.3772979247496826</v>
      </c>
      <c r="S118" s="58">
        <f t="shared" si="31"/>
        <v>4.5466741572196998</v>
      </c>
      <c r="T118" s="58">
        <f t="shared" si="31"/>
        <v>4.724963094409163</v>
      </c>
      <c r="U118" s="58">
        <f t="shared" si="31"/>
        <v>4.9127324443652753</v>
      </c>
      <c r="V118" s="58">
        <f t="shared" si="31"/>
        <v>5.1105891139488868</v>
      </c>
      <c r="W118" s="58">
        <f t="shared" si="31"/>
        <v>5.3191819926425916</v>
      </c>
      <c r="X118" s="58">
        <f t="shared" si="31"/>
        <v>5.5392049358695452</v>
      </c>
      <c r="Y118" s="58">
        <f t="shared" si="31"/>
        <v>0</v>
      </c>
      <c r="Z118" s="58">
        <f t="shared" si="31"/>
        <v>0</v>
      </c>
      <c r="AA118" s="58">
        <f t="shared" si="31"/>
        <v>0</v>
      </c>
      <c r="AB118" s="58">
        <f t="shared" si="31"/>
        <v>0</v>
      </c>
      <c r="AC118" s="58">
        <f t="shared" si="31"/>
        <v>0</v>
      </c>
      <c r="AD118" s="58">
        <f t="shared" si="31"/>
        <v>0</v>
      </c>
      <c r="AE118" s="58">
        <f t="shared" si="31"/>
        <v>0</v>
      </c>
      <c r="AF118" s="58">
        <f t="shared" si="31"/>
        <v>0</v>
      </c>
      <c r="AG118" s="58">
        <f t="shared" si="31"/>
        <v>0</v>
      </c>
      <c r="AH118" s="58">
        <f t="shared" si="31"/>
        <v>0</v>
      </c>
      <c r="AI118" s="58">
        <f t="shared" si="31"/>
        <v>0</v>
      </c>
      <c r="AJ118" s="58">
        <f t="shared" si="31"/>
        <v>0</v>
      </c>
      <c r="AK118" s="58">
        <f t="shared" si="31"/>
        <v>0</v>
      </c>
      <c r="AL118" s="58">
        <f t="shared" si="31"/>
        <v>0</v>
      </c>
      <c r="AM118" s="58">
        <f t="shared" si="31"/>
        <v>0</v>
      </c>
      <c r="AN118" s="58">
        <f t="shared" si="31"/>
        <v>0</v>
      </c>
      <c r="AO118" s="58">
        <f t="shared" si="31"/>
        <v>0</v>
      </c>
      <c r="AP118" s="58">
        <f t="shared" si="31"/>
        <v>0</v>
      </c>
      <c r="AQ118" s="58">
        <f t="shared" si="31"/>
        <v>0</v>
      </c>
      <c r="AR118" s="58">
        <f t="shared" si="31"/>
        <v>0</v>
      </c>
      <c r="AS118" s="58">
        <f t="shared" si="31"/>
        <v>0</v>
      </c>
      <c r="AT118" s="58">
        <f t="shared" si="31"/>
        <v>0</v>
      </c>
      <c r="AU118" s="58">
        <f t="shared" si="31"/>
        <v>0</v>
      </c>
      <c r="AV118" s="58">
        <f t="shared" si="31"/>
        <v>0</v>
      </c>
      <c r="AW118" s="58">
        <f t="shared" si="31"/>
        <v>0</v>
      </c>
      <c r="AX118" s="58">
        <f t="shared" si="31"/>
        <v>0</v>
      </c>
      <c r="AY118" s="58">
        <f t="shared" si="31"/>
        <v>0</v>
      </c>
      <c r="AZ118" s="58">
        <f t="shared" si="31"/>
        <v>0</v>
      </c>
      <c r="BA118" s="58">
        <f t="shared" si="31"/>
        <v>0</v>
      </c>
      <c r="BB118" s="58">
        <f t="shared" si="31"/>
        <v>0</v>
      </c>
    </row>
    <row r="119" spans="3:54" s="57" customFormat="1" hidden="1" outlineLevel="1">
      <c r="C119" s="63" t="s">
        <v>64</v>
      </c>
      <c r="D119" s="58">
        <f>NPV(Debt_Rate,$E$118:$BB$118)*(1+Debt_Rate)^0.5</f>
        <v>97.818245430074612</v>
      </c>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row>
    <row r="120" spans="3:54" s="57" customFormat="1" hidden="1" outlineLevel="1">
      <c r="D120" s="64" t="b">
        <f>ABS((D118+D119)/D118)&lt;0.001</f>
        <v>1</v>
      </c>
      <c r="E120" s="58"/>
      <c r="F120" s="58"/>
      <c r="G120" s="58"/>
      <c r="H120" s="58"/>
      <c r="I120" s="58"/>
      <c r="J120" s="58"/>
      <c r="K120" s="58"/>
      <c r="L120" s="58"/>
      <c r="M120" s="58"/>
      <c r="N120" s="58"/>
      <c r="O120" s="58"/>
      <c r="P120" s="58"/>
      <c r="Q120" s="58"/>
      <c r="R120" s="58"/>
      <c r="S120" s="58"/>
      <c r="T120" s="58"/>
      <c r="U120" s="58"/>
      <c r="V120" s="58"/>
      <c r="W120" s="58"/>
      <c r="X120" s="58"/>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row>
    <row r="121" spans="3:54" s="51" customFormat="1" ht="3.75" hidden="1" customHeight="1" outlineLevel="1">
      <c r="D121" s="52"/>
      <c r="E121" s="52"/>
      <c r="F121" s="52"/>
      <c r="G121" s="52"/>
      <c r="H121" s="52"/>
      <c r="I121" s="52"/>
      <c r="J121" s="52"/>
      <c r="K121" s="52"/>
      <c r="L121" s="52"/>
      <c r="M121" s="52"/>
      <c r="N121" s="52"/>
      <c r="O121" s="52"/>
      <c r="P121" s="52"/>
      <c r="Q121" s="52"/>
      <c r="R121" s="52"/>
      <c r="S121" s="52"/>
      <c r="T121" s="52"/>
      <c r="U121" s="52"/>
      <c r="V121" s="52"/>
      <c r="W121" s="52"/>
      <c r="X121" s="52"/>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row>
    <row r="122" spans="3:54" s="43" customFormat="1" hidden="1" outlineLevel="1">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row>
    <row r="123" spans="3:54" s="43" customFormat="1" hidden="1" outlineLevel="1">
      <c r="C123" s="43" t="s">
        <v>35</v>
      </c>
      <c r="E123" s="46">
        <f>IF(E$82&lt;=Economic_Life,D123-D125,0)</f>
        <v>97.787065369465296</v>
      </c>
      <c r="F123" s="46">
        <f t="shared" ref="F123:AJ123" si="32">IF(F$82&lt;=Economic_Life,E123-E125,0)</f>
        <v>81.849837824928173</v>
      </c>
      <c r="G123" s="46">
        <f t="shared" si="32"/>
        <v>71.708165928902105</v>
      </c>
      <c r="H123" s="46">
        <f t="shared" ref="H123:N123" si="33">IF(H$82&lt;=Economic_Life,G123-G125,0)</f>
        <v>64.707436623824208</v>
      </c>
      <c r="I123" s="46">
        <f t="shared" si="33"/>
        <v>58.861810598529175</v>
      </c>
      <c r="J123" s="46">
        <f t="shared" si="33"/>
        <v>52.50654218878261</v>
      </c>
      <c r="K123" s="46">
        <f t="shared" si="33"/>
        <v>49.265963207666289</v>
      </c>
      <c r="L123" s="46">
        <f t="shared" si="33"/>
        <v>46.224097658321057</v>
      </c>
      <c r="M123" s="46">
        <f t="shared" si="33"/>
        <v>42.868237330612502</v>
      </c>
      <c r="N123" s="46">
        <f t="shared" si="33"/>
        <v>39.173644906759321</v>
      </c>
      <c r="O123" s="46">
        <f t="shared" si="32"/>
        <v>35.113754594163908</v>
      </c>
      <c r="P123" s="46">
        <f t="shared" si="32"/>
        <v>33.022166822912119</v>
      </c>
      <c r="Q123" s="46">
        <f t="shared" si="32"/>
        <v>30.676126174251984</v>
      </c>
      <c r="R123" s="46">
        <f t="shared" si="32"/>
        <v>28.05498144522241</v>
      </c>
      <c r="S123" s="46">
        <f t="shared" si="32"/>
        <v>25.136542555624292</v>
      </c>
      <c r="T123" s="46">
        <f t="shared" si="32"/>
        <v>21.896968611297055</v>
      </c>
      <c r="U123" s="46">
        <f t="shared" si="32"/>
        <v>18.31064788467534</v>
      </c>
      <c r="V123" s="46">
        <f t="shared" si="32"/>
        <v>14.350069130313184</v>
      </c>
      <c r="W123" s="46">
        <f t="shared" si="32"/>
        <v>9.9856836111405833</v>
      </c>
      <c r="X123" s="46">
        <f t="shared" si="32"/>
        <v>5.1857571662773019</v>
      </c>
      <c r="Y123" s="46">
        <f t="shared" si="32"/>
        <v>0</v>
      </c>
      <c r="Z123" s="46">
        <f t="shared" si="32"/>
        <v>0</v>
      </c>
      <c r="AA123" s="46">
        <f t="shared" si="32"/>
        <v>0</v>
      </c>
      <c r="AB123" s="46">
        <f t="shared" si="32"/>
        <v>0</v>
      </c>
      <c r="AC123" s="46">
        <f t="shared" si="32"/>
        <v>0</v>
      </c>
      <c r="AD123" s="46">
        <f t="shared" si="32"/>
        <v>0</v>
      </c>
      <c r="AE123" s="46">
        <f t="shared" si="32"/>
        <v>0</v>
      </c>
      <c r="AF123" s="46">
        <f t="shared" si="32"/>
        <v>0</v>
      </c>
      <c r="AG123" s="46">
        <f t="shared" si="32"/>
        <v>0</v>
      </c>
      <c r="AH123" s="46">
        <f t="shared" si="32"/>
        <v>0</v>
      </c>
      <c r="AI123" s="46">
        <f t="shared" si="32"/>
        <v>0</v>
      </c>
      <c r="AJ123" s="46">
        <f t="shared" si="32"/>
        <v>0</v>
      </c>
      <c r="AK123" s="46">
        <f t="shared" ref="AK123:BB123" si="34">IF(AK$82&lt;=Economic_Life,AJ123-AJ125,0)</f>
        <v>0</v>
      </c>
      <c r="AL123" s="46">
        <f t="shared" si="34"/>
        <v>0</v>
      </c>
      <c r="AM123" s="46">
        <f t="shared" si="34"/>
        <v>0</v>
      </c>
      <c r="AN123" s="46">
        <f t="shared" si="34"/>
        <v>0</v>
      </c>
      <c r="AO123" s="46">
        <f t="shared" si="34"/>
        <v>0</v>
      </c>
      <c r="AP123" s="46">
        <f t="shared" si="34"/>
        <v>0</v>
      </c>
      <c r="AQ123" s="46">
        <f t="shared" si="34"/>
        <v>0</v>
      </c>
      <c r="AR123" s="46">
        <f t="shared" si="34"/>
        <v>0</v>
      </c>
      <c r="AS123" s="46">
        <f t="shared" si="34"/>
        <v>0</v>
      </c>
      <c r="AT123" s="46">
        <f t="shared" si="34"/>
        <v>0</v>
      </c>
      <c r="AU123" s="46">
        <f t="shared" si="34"/>
        <v>0</v>
      </c>
      <c r="AV123" s="46">
        <f t="shared" si="34"/>
        <v>0</v>
      </c>
      <c r="AW123" s="46">
        <f t="shared" si="34"/>
        <v>0</v>
      </c>
      <c r="AX123" s="46">
        <f t="shared" si="34"/>
        <v>0</v>
      </c>
      <c r="AY123" s="46">
        <f t="shared" si="34"/>
        <v>0</v>
      </c>
      <c r="AZ123" s="46">
        <f t="shared" si="34"/>
        <v>0</v>
      </c>
      <c r="BA123" s="46">
        <f t="shared" si="34"/>
        <v>0</v>
      </c>
      <c r="BB123" s="46">
        <f t="shared" si="34"/>
        <v>0</v>
      </c>
    </row>
    <row r="124" spans="3:54" s="43" customFormat="1" hidden="1" outlineLevel="1">
      <c r="C124" s="43" t="s">
        <v>36</v>
      </c>
      <c r="E124" s="55">
        <f>E123*((1+Equity_Rate)^0.5-1)</f>
        <v>5.377129974295932</v>
      </c>
      <c r="F124" s="46">
        <f>F123*Equity_Rate</f>
        <v>9.2490316742168837</v>
      </c>
      <c r="G124" s="46">
        <f t="shared" ref="G124:BB124" si="35">G123*Equity_Rate</f>
        <v>8.1030227499659375</v>
      </c>
      <c r="H124" s="46">
        <f t="shared" si="35"/>
        <v>7.3119403384921355</v>
      </c>
      <c r="I124" s="46">
        <f t="shared" si="35"/>
        <v>6.6513845976337969</v>
      </c>
      <c r="J124" s="46">
        <f t="shared" si="35"/>
        <v>5.9332392673324348</v>
      </c>
      <c r="K124" s="46">
        <f t="shared" si="35"/>
        <v>5.567053842466291</v>
      </c>
      <c r="L124" s="46">
        <f t="shared" si="35"/>
        <v>5.2233230353902798</v>
      </c>
      <c r="M124" s="46">
        <f t="shared" si="35"/>
        <v>4.844110818359213</v>
      </c>
      <c r="N124" s="46">
        <f t="shared" si="35"/>
        <v>4.4266218744638035</v>
      </c>
      <c r="O124" s="46">
        <f t="shared" si="35"/>
        <v>3.9678542691405219</v>
      </c>
      <c r="P124" s="46">
        <f t="shared" si="35"/>
        <v>3.7315048509890696</v>
      </c>
      <c r="Q124" s="46">
        <f t="shared" si="35"/>
        <v>3.4664022576904743</v>
      </c>
      <c r="R124" s="46">
        <f t="shared" si="35"/>
        <v>3.1702129033101323</v>
      </c>
      <c r="S124" s="46">
        <f t="shared" si="35"/>
        <v>2.840429308785545</v>
      </c>
      <c r="T124" s="46">
        <f t="shared" si="35"/>
        <v>2.4743574530765673</v>
      </c>
      <c r="U124" s="46">
        <f t="shared" si="35"/>
        <v>2.0691032109683136</v>
      </c>
      <c r="V124" s="46">
        <f t="shared" si="35"/>
        <v>1.6215578117253897</v>
      </c>
      <c r="W124" s="46">
        <f t="shared" si="35"/>
        <v>1.1283822480588859</v>
      </c>
      <c r="X124" s="46">
        <f t="shared" si="35"/>
        <v>0.58599055978933512</v>
      </c>
      <c r="Y124" s="46">
        <f t="shared" si="35"/>
        <v>0</v>
      </c>
      <c r="Z124" s="46">
        <f t="shared" si="35"/>
        <v>0</v>
      </c>
      <c r="AA124" s="46">
        <f t="shared" si="35"/>
        <v>0</v>
      </c>
      <c r="AB124" s="46">
        <f t="shared" si="35"/>
        <v>0</v>
      </c>
      <c r="AC124" s="46">
        <f t="shared" si="35"/>
        <v>0</v>
      </c>
      <c r="AD124" s="46">
        <f t="shared" si="35"/>
        <v>0</v>
      </c>
      <c r="AE124" s="46">
        <f t="shared" si="35"/>
        <v>0</v>
      </c>
      <c r="AF124" s="46">
        <f t="shared" si="35"/>
        <v>0</v>
      </c>
      <c r="AG124" s="46">
        <f t="shared" si="35"/>
        <v>0</v>
      </c>
      <c r="AH124" s="46">
        <f t="shared" si="35"/>
        <v>0</v>
      </c>
      <c r="AI124" s="46">
        <f t="shared" si="35"/>
        <v>0</v>
      </c>
      <c r="AJ124" s="46">
        <f t="shared" si="35"/>
        <v>0</v>
      </c>
      <c r="AK124" s="46">
        <f t="shared" si="35"/>
        <v>0</v>
      </c>
      <c r="AL124" s="46">
        <f t="shared" si="35"/>
        <v>0</v>
      </c>
      <c r="AM124" s="46">
        <f t="shared" si="35"/>
        <v>0</v>
      </c>
      <c r="AN124" s="46">
        <f t="shared" si="35"/>
        <v>0</v>
      </c>
      <c r="AO124" s="46">
        <f t="shared" si="35"/>
        <v>0</v>
      </c>
      <c r="AP124" s="46">
        <f t="shared" si="35"/>
        <v>0</v>
      </c>
      <c r="AQ124" s="46">
        <f t="shared" si="35"/>
        <v>0</v>
      </c>
      <c r="AR124" s="46">
        <f t="shared" si="35"/>
        <v>0</v>
      </c>
      <c r="AS124" s="46">
        <f t="shared" si="35"/>
        <v>0</v>
      </c>
      <c r="AT124" s="46">
        <f t="shared" si="35"/>
        <v>0</v>
      </c>
      <c r="AU124" s="46">
        <f t="shared" si="35"/>
        <v>0</v>
      </c>
      <c r="AV124" s="46">
        <f t="shared" si="35"/>
        <v>0</v>
      </c>
      <c r="AW124" s="46">
        <f t="shared" si="35"/>
        <v>0</v>
      </c>
      <c r="AX124" s="46">
        <f t="shared" si="35"/>
        <v>0</v>
      </c>
      <c r="AY124" s="46">
        <f t="shared" si="35"/>
        <v>0</v>
      </c>
      <c r="AZ124" s="46">
        <f t="shared" si="35"/>
        <v>0</v>
      </c>
      <c r="BA124" s="46">
        <f t="shared" si="35"/>
        <v>0</v>
      </c>
      <c r="BB124" s="46">
        <f t="shared" si="35"/>
        <v>0</v>
      </c>
    </row>
    <row r="125" spans="3:54" s="43" customFormat="1" hidden="1" outlineLevel="1">
      <c r="C125" s="43" t="s">
        <v>37</v>
      </c>
      <c r="D125" s="56">
        <f>-(1-Debt_Fraction)*Plant_Capacity*Installed_Cost/10^3</f>
        <v>-97.787065369465296</v>
      </c>
      <c r="E125" s="46">
        <f>E113*(1-Debt_Fraction)</f>
        <v>15.937227544537119</v>
      </c>
      <c r="F125" s="46">
        <f>F113*(1-Debt_Fraction)</f>
        <v>10.141671896026066</v>
      </c>
      <c r="G125" s="46">
        <f t="shared" ref="G125:BB125" si="36">G113*(1-Debt_Fraction)</f>
        <v>7.0007293050778969</v>
      </c>
      <c r="H125" s="46">
        <f t="shared" si="36"/>
        <v>5.8456260252950312</v>
      </c>
      <c r="I125" s="46">
        <f t="shared" si="36"/>
        <v>6.3552684097465661</v>
      </c>
      <c r="J125" s="46">
        <f t="shared" si="36"/>
        <v>3.2405789811163186</v>
      </c>
      <c r="K125" s="46">
        <f t="shared" si="36"/>
        <v>3.0418655493452289</v>
      </c>
      <c r="L125" s="46">
        <f t="shared" si="36"/>
        <v>3.3558603277085588</v>
      </c>
      <c r="M125" s="46">
        <f t="shared" si="36"/>
        <v>3.6945924238531771</v>
      </c>
      <c r="N125" s="46">
        <f t="shared" si="36"/>
        <v>4.0598903125954129</v>
      </c>
      <c r="O125" s="46">
        <f t="shared" si="36"/>
        <v>2.0915877712517856</v>
      </c>
      <c r="P125" s="46">
        <f t="shared" si="36"/>
        <v>2.3460406486601371</v>
      </c>
      <c r="Q125" s="46">
        <f t="shared" si="36"/>
        <v>2.6211447290295729</v>
      </c>
      <c r="R125" s="46">
        <f t="shared" si="36"/>
        <v>2.918438889598117</v>
      </c>
      <c r="S125" s="46">
        <f t="shared" si="36"/>
        <v>3.2395739443272369</v>
      </c>
      <c r="T125" s="46">
        <f t="shared" si="36"/>
        <v>3.5863207266217163</v>
      </c>
      <c r="U125" s="46">
        <f t="shared" si="36"/>
        <v>3.9605787543621576</v>
      </c>
      <c r="V125" s="46">
        <f t="shared" si="36"/>
        <v>4.3643855191726013</v>
      </c>
      <c r="W125" s="46">
        <f t="shared" si="36"/>
        <v>4.7999264448632815</v>
      </c>
      <c r="X125" s="46">
        <f t="shared" si="36"/>
        <v>5.2695455632231258</v>
      </c>
      <c r="Y125" s="46">
        <f t="shared" si="36"/>
        <v>0</v>
      </c>
      <c r="Z125" s="46">
        <f t="shared" si="36"/>
        <v>0</v>
      </c>
      <c r="AA125" s="46">
        <f t="shared" si="36"/>
        <v>0</v>
      </c>
      <c r="AB125" s="46">
        <f t="shared" si="36"/>
        <v>0</v>
      </c>
      <c r="AC125" s="46">
        <f t="shared" si="36"/>
        <v>0</v>
      </c>
      <c r="AD125" s="46">
        <f t="shared" si="36"/>
        <v>0</v>
      </c>
      <c r="AE125" s="46">
        <f t="shared" si="36"/>
        <v>0</v>
      </c>
      <c r="AF125" s="46">
        <f t="shared" si="36"/>
        <v>0</v>
      </c>
      <c r="AG125" s="46">
        <f t="shared" si="36"/>
        <v>0</v>
      </c>
      <c r="AH125" s="46">
        <f t="shared" si="36"/>
        <v>0</v>
      </c>
      <c r="AI125" s="46">
        <f t="shared" si="36"/>
        <v>0</v>
      </c>
      <c r="AJ125" s="46">
        <f t="shared" si="36"/>
        <v>0</v>
      </c>
      <c r="AK125" s="46">
        <f t="shared" si="36"/>
        <v>0</v>
      </c>
      <c r="AL125" s="46">
        <f t="shared" si="36"/>
        <v>0</v>
      </c>
      <c r="AM125" s="46">
        <f t="shared" si="36"/>
        <v>0</v>
      </c>
      <c r="AN125" s="46">
        <f t="shared" si="36"/>
        <v>0</v>
      </c>
      <c r="AO125" s="46">
        <f t="shared" si="36"/>
        <v>0</v>
      </c>
      <c r="AP125" s="46">
        <f t="shared" si="36"/>
        <v>0</v>
      </c>
      <c r="AQ125" s="46">
        <f t="shared" si="36"/>
        <v>0</v>
      </c>
      <c r="AR125" s="46">
        <f t="shared" si="36"/>
        <v>0</v>
      </c>
      <c r="AS125" s="46">
        <f t="shared" si="36"/>
        <v>0</v>
      </c>
      <c r="AT125" s="46">
        <f t="shared" si="36"/>
        <v>0</v>
      </c>
      <c r="AU125" s="46">
        <f t="shared" si="36"/>
        <v>0</v>
      </c>
      <c r="AV125" s="46">
        <f t="shared" si="36"/>
        <v>0</v>
      </c>
      <c r="AW125" s="46">
        <f t="shared" si="36"/>
        <v>0</v>
      </c>
      <c r="AX125" s="46">
        <f t="shared" si="36"/>
        <v>0</v>
      </c>
      <c r="AY125" s="46">
        <f t="shared" si="36"/>
        <v>0</v>
      </c>
      <c r="AZ125" s="46">
        <f t="shared" si="36"/>
        <v>0</v>
      </c>
      <c r="BA125" s="46">
        <f t="shared" si="36"/>
        <v>0</v>
      </c>
      <c r="BB125" s="46">
        <f t="shared" si="36"/>
        <v>0</v>
      </c>
    </row>
    <row r="126" spans="3:54" s="57" customFormat="1" hidden="1" outlineLevel="1">
      <c r="C126" s="57" t="s">
        <v>38</v>
      </c>
      <c r="D126" s="58">
        <f>D124+D125</f>
        <v>-97.787065369465296</v>
      </c>
      <c r="E126" s="58">
        <f>E124+E125</f>
        <v>21.314357518833052</v>
      </c>
      <c r="F126" s="58">
        <f>F124+F125</f>
        <v>19.390703570242948</v>
      </c>
      <c r="G126" s="58">
        <f t="shared" ref="G126:BB126" si="37">G124+G125</f>
        <v>15.103752055043834</v>
      </c>
      <c r="H126" s="58">
        <f t="shared" si="37"/>
        <v>13.157566363787167</v>
      </c>
      <c r="I126" s="58">
        <f t="shared" si="37"/>
        <v>13.006653007380363</v>
      </c>
      <c r="J126" s="58">
        <f t="shared" si="37"/>
        <v>9.1738182484487538</v>
      </c>
      <c r="K126" s="58">
        <f t="shared" si="37"/>
        <v>8.6089193918115203</v>
      </c>
      <c r="L126" s="58">
        <f t="shared" si="37"/>
        <v>8.5791833630988386</v>
      </c>
      <c r="M126" s="58">
        <f t="shared" si="37"/>
        <v>8.5387032422123905</v>
      </c>
      <c r="N126" s="58">
        <f t="shared" si="37"/>
        <v>8.4865121870592155</v>
      </c>
      <c r="O126" s="58">
        <f t="shared" si="37"/>
        <v>6.059442040392307</v>
      </c>
      <c r="P126" s="58">
        <f t="shared" si="37"/>
        <v>6.0775454996492062</v>
      </c>
      <c r="Q126" s="58">
        <f t="shared" si="37"/>
        <v>6.0875469867200476</v>
      </c>
      <c r="R126" s="58">
        <f t="shared" si="37"/>
        <v>6.0886517929082498</v>
      </c>
      <c r="S126" s="58">
        <f t="shared" si="37"/>
        <v>6.0800032531127819</v>
      </c>
      <c r="T126" s="58">
        <f t="shared" si="37"/>
        <v>6.060678179698284</v>
      </c>
      <c r="U126" s="58">
        <f t="shared" si="37"/>
        <v>6.0296819653304716</v>
      </c>
      <c r="V126" s="58">
        <f t="shared" si="37"/>
        <v>5.9859433308979906</v>
      </c>
      <c r="W126" s="58">
        <f t="shared" si="37"/>
        <v>5.9283086929221671</v>
      </c>
      <c r="X126" s="58">
        <f t="shared" si="37"/>
        <v>5.8555361230124614</v>
      </c>
      <c r="Y126" s="58">
        <f t="shared" si="37"/>
        <v>0</v>
      </c>
      <c r="Z126" s="58">
        <f t="shared" si="37"/>
        <v>0</v>
      </c>
      <c r="AA126" s="58">
        <f t="shared" si="37"/>
        <v>0</v>
      </c>
      <c r="AB126" s="58">
        <f t="shared" si="37"/>
        <v>0</v>
      </c>
      <c r="AC126" s="58">
        <f t="shared" si="37"/>
        <v>0</v>
      </c>
      <c r="AD126" s="58">
        <f t="shared" si="37"/>
        <v>0</v>
      </c>
      <c r="AE126" s="58">
        <f t="shared" si="37"/>
        <v>0</v>
      </c>
      <c r="AF126" s="58">
        <f t="shared" si="37"/>
        <v>0</v>
      </c>
      <c r="AG126" s="58">
        <f t="shared" si="37"/>
        <v>0</v>
      </c>
      <c r="AH126" s="58">
        <f t="shared" si="37"/>
        <v>0</v>
      </c>
      <c r="AI126" s="58">
        <f t="shared" si="37"/>
        <v>0</v>
      </c>
      <c r="AJ126" s="58">
        <f t="shared" si="37"/>
        <v>0</v>
      </c>
      <c r="AK126" s="58">
        <f t="shared" si="37"/>
        <v>0</v>
      </c>
      <c r="AL126" s="58">
        <f t="shared" si="37"/>
        <v>0</v>
      </c>
      <c r="AM126" s="58">
        <f t="shared" si="37"/>
        <v>0</v>
      </c>
      <c r="AN126" s="58">
        <f t="shared" si="37"/>
        <v>0</v>
      </c>
      <c r="AO126" s="58">
        <f t="shared" si="37"/>
        <v>0</v>
      </c>
      <c r="AP126" s="58">
        <f t="shared" si="37"/>
        <v>0</v>
      </c>
      <c r="AQ126" s="58">
        <f t="shared" si="37"/>
        <v>0</v>
      </c>
      <c r="AR126" s="58">
        <f t="shared" si="37"/>
        <v>0</v>
      </c>
      <c r="AS126" s="58">
        <f t="shared" si="37"/>
        <v>0</v>
      </c>
      <c r="AT126" s="58">
        <f t="shared" si="37"/>
        <v>0</v>
      </c>
      <c r="AU126" s="58">
        <f t="shared" si="37"/>
        <v>0</v>
      </c>
      <c r="AV126" s="58">
        <f t="shared" si="37"/>
        <v>0</v>
      </c>
      <c r="AW126" s="58">
        <f t="shared" si="37"/>
        <v>0</v>
      </c>
      <c r="AX126" s="58">
        <f t="shared" si="37"/>
        <v>0</v>
      </c>
      <c r="AY126" s="58">
        <f t="shared" si="37"/>
        <v>0</v>
      </c>
      <c r="AZ126" s="58">
        <f t="shared" si="37"/>
        <v>0</v>
      </c>
      <c r="BA126" s="58">
        <f t="shared" si="37"/>
        <v>0</v>
      </c>
      <c r="BB126" s="58">
        <f t="shared" si="37"/>
        <v>0</v>
      </c>
    </row>
    <row r="127" spans="3:54" s="57" customFormat="1" hidden="1" outlineLevel="1">
      <c r="C127" s="63" t="s">
        <v>65</v>
      </c>
      <c r="D127" s="58">
        <f>NPV(Equity_Rate,$E$126:$BB$126)*(1+Equity_Rate)^0.5</f>
        <v>97.79745327943408</v>
      </c>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row>
    <row r="128" spans="3:54" s="57" customFormat="1" hidden="1" outlineLevel="1">
      <c r="D128" s="64" t="b">
        <f>ABS((D126+D127)/D126)&lt;0.001</f>
        <v>1</v>
      </c>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row>
    <row r="129" spans="3:54" s="61" customFormat="1" ht="4.5" hidden="1" customHeight="1" outlineLevel="1"/>
    <row r="130" spans="3:54" s="26" customFormat="1" ht="13.5" hidden="1" outlineLevel="1" thickBot="1">
      <c r="C130" s="26" t="s">
        <v>3</v>
      </c>
      <c r="D130" s="27"/>
      <c r="E130" s="28">
        <f t="shared" ref="E130:BB130" si="38">IF(AND(ABS(E115)&gt;0.01,ABS(E123)&gt;0.01),E115/(E115+E123),"-")</f>
        <v>0.5</v>
      </c>
      <c r="F130" s="28">
        <f t="shared" si="38"/>
        <v>0.5</v>
      </c>
      <c r="G130" s="28">
        <f t="shared" si="38"/>
        <v>0.5</v>
      </c>
      <c r="H130" s="28">
        <f t="shared" si="38"/>
        <v>0.5</v>
      </c>
      <c r="I130" s="28">
        <f t="shared" si="38"/>
        <v>0.5</v>
      </c>
      <c r="J130" s="28">
        <f t="shared" si="38"/>
        <v>0.5</v>
      </c>
      <c r="K130" s="28">
        <f t="shared" si="38"/>
        <v>0.5</v>
      </c>
      <c r="L130" s="28">
        <f t="shared" si="38"/>
        <v>0.5</v>
      </c>
      <c r="M130" s="28">
        <f t="shared" si="38"/>
        <v>0.5</v>
      </c>
      <c r="N130" s="28">
        <f t="shared" si="38"/>
        <v>0.5</v>
      </c>
      <c r="O130" s="28">
        <f t="shared" si="38"/>
        <v>0.5</v>
      </c>
      <c r="P130" s="28">
        <f t="shared" si="38"/>
        <v>0.5</v>
      </c>
      <c r="Q130" s="28">
        <f t="shared" si="38"/>
        <v>0.5</v>
      </c>
      <c r="R130" s="28">
        <f t="shared" si="38"/>
        <v>0.5</v>
      </c>
      <c r="S130" s="28">
        <f t="shared" si="38"/>
        <v>0.5</v>
      </c>
      <c r="T130" s="28">
        <f t="shared" si="38"/>
        <v>0.5</v>
      </c>
      <c r="U130" s="28">
        <f t="shared" si="38"/>
        <v>0.5</v>
      </c>
      <c r="V130" s="28">
        <f t="shared" si="38"/>
        <v>0.5</v>
      </c>
      <c r="W130" s="28">
        <f t="shared" si="38"/>
        <v>0.5</v>
      </c>
      <c r="X130" s="28">
        <f t="shared" si="38"/>
        <v>0.5</v>
      </c>
      <c r="Y130" s="28" t="str">
        <f t="shared" si="38"/>
        <v>-</v>
      </c>
      <c r="Z130" s="28" t="str">
        <f t="shared" si="38"/>
        <v>-</v>
      </c>
      <c r="AA130" s="28" t="str">
        <f t="shared" si="38"/>
        <v>-</v>
      </c>
      <c r="AB130" s="28" t="str">
        <f t="shared" si="38"/>
        <v>-</v>
      </c>
      <c r="AC130" s="28" t="str">
        <f t="shared" si="38"/>
        <v>-</v>
      </c>
      <c r="AD130" s="28" t="str">
        <f t="shared" si="38"/>
        <v>-</v>
      </c>
      <c r="AE130" s="28" t="str">
        <f t="shared" si="38"/>
        <v>-</v>
      </c>
      <c r="AF130" s="28" t="str">
        <f t="shared" si="38"/>
        <v>-</v>
      </c>
      <c r="AG130" s="28" t="str">
        <f t="shared" si="38"/>
        <v>-</v>
      </c>
      <c r="AH130" s="28" t="str">
        <f t="shared" si="38"/>
        <v>-</v>
      </c>
      <c r="AI130" s="28" t="str">
        <f t="shared" si="38"/>
        <v>-</v>
      </c>
      <c r="AJ130" s="28" t="str">
        <f t="shared" si="38"/>
        <v>-</v>
      </c>
      <c r="AK130" s="28" t="str">
        <f t="shared" si="38"/>
        <v>-</v>
      </c>
      <c r="AL130" s="28" t="str">
        <f t="shared" si="38"/>
        <v>-</v>
      </c>
      <c r="AM130" s="28" t="str">
        <f t="shared" si="38"/>
        <v>-</v>
      </c>
      <c r="AN130" s="28" t="str">
        <f t="shared" si="38"/>
        <v>-</v>
      </c>
      <c r="AO130" s="28" t="str">
        <f t="shared" si="38"/>
        <v>-</v>
      </c>
      <c r="AP130" s="28" t="str">
        <f t="shared" si="38"/>
        <v>-</v>
      </c>
      <c r="AQ130" s="28" t="str">
        <f t="shared" si="38"/>
        <v>-</v>
      </c>
      <c r="AR130" s="28" t="str">
        <f t="shared" si="38"/>
        <v>-</v>
      </c>
      <c r="AS130" s="28" t="str">
        <f t="shared" si="38"/>
        <v>-</v>
      </c>
      <c r="AT130" s="28" t="str">
        <f t="shared" si="38"/>
        <v>-</v>
      </c>
      <c r="AU130" s="28" t="str">
        <f t="shared" si="38"/>
        <v>-</v>
      </c>
      <c r="AV130" s="28" t="str">
        <f t="shared" si="38"/>
        <v>-</v>
      </c>
      <c r="AW130" s="28" t="str">
        <f t="shared" si="38"/>
        <v>-</v>
      </c>
      <c r="AX130" s="28" t="str">
        <f t="shared" si="38"/>
        <v>-</v>
      </c>
      <c r="AY130" s="28" t="str">
        <f t="shared" si="38"/>
        <v>-</v>
      </c>
      <c r="AZ130" s="28" t="str">
        <f t="shared" si="38"/>
        <v>-</v>
      </c>
      <c r="BA130" s="28" t="str">
        <f t="shared" si="38"/>
        <v>-</v>
      </c>
      <c r="BB130" s="28" t="str">
        <f t="shared" si="38"/>
        <v>-</v>
      </c>
    </row>
    <row r="131" spans="3:54" s="6" customFormat="1" ht="4.5" hidden="1" customHeight="1" outlineLevel="1" thickTop="1"/>
    <row r="132" spans="3:54" s="6" customFormat="1" hidden="1" outlineLevel="1">
      <c r="D132" s="8"/>
      <c r="E132" s="8"/>
    </row>
    <row r="133" spans="3:54" collapsed="1"/>
  </sheetData>
  <mergeCells count="1">
    <mergeCell ref="C58:C59"/>
  </mergeCells>
  <phoneticPr fontId="38" type="noConversion"/>
  <conditionalFormatting sqref="D105">
    <cfRule type="cellIs" dxfId="27" priority="1" operator="equal">
      <formula>"""TRUE"""</formula>
    </cfRule>
    <cfRule type="cellIs" dxfId="26" priority="9" stopIfTrue="1" operator="equal">
      <formula>FALSE</formula>
    </cfRule>
  </conditionalFormatting>
  <conditionalFormatting sqref="D120">
    <cfRule type="cellIs" dxfId="25" priority="7" stopIfTrue="1" operator="equal">
      <formula>FALSE</formula>
    </cfRule>
  </conditionalFormatting>
  <conditionalFormatting sqref="D128">
    <cfRule type="cellIs" dxfId="24" priority="6" stopIfTrue="1" operator="equal">
      <formula>FALSE</formula>
    </cfRule>
  </conditionalFormatting>
  <dataValidations count="3">
    <dataValidation type="list" allowBlank="1" showInputMessage="1" showErrorMessage="1" sqref="D7">
      <formula1>$E$7:$G$7</formula1>
    </dataValidation>
    <dataValidation type="list" allowBlank="1" showInputMessage="1" showErrorMessage="1" sqref="D9">
      <formula1>$E$9:$F$9</formula1>
    </dataValidation>
    <dataValidation type="list" allowBlank="1" showInputMessage="1" showErrorMessage="1" sqref="D6">
      <formula1>$E$6:$H$6</formula1>
    </dataValidation>
  </dataValidations>
  <pageMargins left="0.7" right="0.48" top="0.56000000000000005" bottom="0.85" header="0.5" footer="0.5"/>
  <pageSetup paperSize="5" scale="27" fitToWidth="4" orientation="landscape" blackAndWhite="1" r:id="rId1"/>
  <headerFooter alignWithMargins="0">
    <oddFooter>&amp;R&amp;F [&amp;A]&amp;D &amp;TPage &amp;P of &amp;N</oddFooter>
  </headerFooter>
  <rowBreaks count="1" manualBreakCount="1">
    <brk id="52" min="1" max="53" man="1"/>
  </rowBreaks>
  <ignoredErrors>
    <ignoredError sqref="F70" formula="1"/>
  </ignoredErrors>
</worksheet>
</file>

<file path=xl/worksheets/sheet5.xml><?xml version="1.0" encoding="utf-8"?>
<worksheet xmlns="http://schemas.openxmlformats.org/spreadsheetml/2006/main" xmlns:r="http://schemas.openxmlformats.org/officeDocument/2006/relationships">
  <sheetPr codeName="Sheet1">
    <tabColor theme="3"/>
  </sheetPr>
  <dimension ref="A1:AV29"/>
  <sheetViews>
    <sheetView tabSelected="1" topLeftCell="D6" zoomScale="85" zoomScaleNormal="85" workbookViewId="0">
      <selection activeCell="D6" sqref="D6"/>
    </sheetView>
  </sheetViews>
  <sheetFormatPr defaultRowHeight="12.75" outlineLevelRow="1" outlineLevelCol="1"/>
  <cols>
    <col min="1" max="1" width="13.5703125" style="69" hidden="1" customWidth="1" outlineLevel="1"/>
    <col min="2" max="2" width="11.7109375" style="69" hidden="1" customWidth="1" outlineLevel="1"/>
    <col min="3" max="3" width="11" style="69" hidden="1" customWidth="1" outlineLevel="1"/>
    <col min="4" max="4" width="10.28515625" style="74" bestFit="1" customWidth="1" collapsed="1"/>
    <col min="5" max="5" width="35.5703125" style="74" customWidth="1"/>
    <col min="6" max="6" width="1.7109375" style="74" customWidth="1"/>
    <col min="7" max="7" width="11.140625" style="74" customWidth="1"/>
    <col min="8" max="8" width="11.5703125" style="74" customWidth="1"/>
    <col min="9" max="10" width="9.140625" style="74"/>
    <col min="11" max="11" width="9.85546875" style="74" customWidth="1"/>
    <col min="12" max="14" width="9.140625" style="74" customWidth="1"/>
    <col min="15" max="16384" width="9.140625" style="74"/>
  </cols>
  <sheetData>
    <row r="1" spans="1:48" s="69" customFormat="1" ht="13.5" hidden="1" outlineLevel="1">
      <c r="A1" s="70"/>
      <c r="B1" s="70"/>
      <c r="C1" s="266" t="s">
        <v>190</v>
      </c>
      <c r="D1" s="70"/>
      <c r="E1" s="70"/>
      <c r="F1" s="70"/>
      <c r="G1" s="84" t="s">
        <v>72</v>
      </c>
    </row>
    <row r="2" spans="1:48" s="69" customFormat="1" hidden="1" outlineLevel="1">
      <c r="A2" s="71"/>
      <c r="B2" s="71"/>
      <c r="C2" s="100">
        <f>INDEX('Capital Drawdown Schedule'!$D$11:$D$14,MATCH('Construction Cashflows'!$H$2,'Capital Drawdown Schedule'!$A$11:$A$14,0))</f>
        <v>32</v>
      </c>
      <c r="D2" s="73"/>
      <c r="E2" s="73"/>
      <c r="F2" s="73"/>
      <c r="G2" s="70" t="s">
        <v>68</v>
      </c>
      <c r="H2" s="90" t="str">
        <f>Technology</f>
        <v>Wind</v>
      </c>
      <c r="I2" s="72"/>
      <c r="J2" s="72"/>
      <c r="K2" s="72"/>
      <c r="L2" s="72"/>
      <c r="M2" s="72"/>
      <c r="N2" s="72"/>
      <c r="O2" s="72"/>
      <c r="P2" s="72"/>
    </row>
    <row r="3" spans="1:48" s="69" customFormat="1" hidden="1" outlineLevel="1">
      <c r="G3" s="70" t="s">
        <v>69</v>
      </c>
      <c r="H3" s="91">
        <f>'CONE Calcs'!D48</f>
        <v>0.5</v>
      </c>
      <c r="K3" s="70"/>
    </row>
    <row r="4" spans="1:48" s="69" customFormat="1" hidden="1" outlineLevel="1">
      <c r="G4" s="70" t="s">
        <v>70</v>
      </c>
      <c r="H4" s="92">
        <f>'CONE Calcs'!Interest_During_Construction</f>
        <v>5.1999999999999998E-2</v>
      </c>
      <c r="I4" s="267" t="s">
        <v>233</v>
      </c>
      <c r="K4" s="70"/>
    </row>
    <row r="5" spans="1:48" s="69" customFormat="1" hidden="1" outlineLevel="1">
      <c r="G5" s="70" t="s">
        <v>71</v>
      </c>
      <c r="H5" s="92">
        <f>'CONE Calcs'!ATWACC</f>
        <v>7.1970000000000006E-2</v>
      </c>
      <c r="I5" s="267" t="s">
        <v>232</v>
      </c>
      <c r="K5" s="70"/>
    </row>
    <row r="6" spans="1:48" collapsed="1">
      <c r="D6" s="278" t="s">
        <v>91</v>
      </c>
      <c r="E6" s="126" t="str">
        <f>'ORTP Summary'!C1</f>
        <v>ISO-NE ORTP 2013 Study</v>
      </c>
    </row>
    <row r="7" spans="1:48">
      <c r="D7" s="126" t="s">
        <v>92</v>
      </c>
      <c r="E7" s="140" t="s">
        <v>113</v>
      </c>
    </row>
    <row r="8" spans="1:48">
      <c r="D8" s="126" t="s">
        <v>114</v>
      </c>
      <c r="E8" s="95" t="s">
        <v>118</v>
      </c>
    </row>
    <row r="10" spans="1:48">
      <c r="E10" s="18" t="s">
        <v>55</v>
      </c>
    </row>
    <row r="11" spans="1:48">
      <c r="E11" s="18"/>
    </row>
    <row r="12" spans="1:48" ht="20.25">
      <c r="E12" s="20" t="s">
        <v>236</v>
      </c>
      <c r="H12" s="75"/>
      <c r="AL12" s="76"/>
    </row>
    <row r="13" spans="1:48" ht="6" customHeight="1" thickBot="1">
      <c r="E13" s="326"/>
      <c r="F13" s="327"/>
      <c r="G13" s="327"/>
      <c r="H13" s="328"/>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9"/>
      <c r="AM13" s="327"/>
      <c r="AN13" s="327"/>
      <c r="AO13" s="327"/>
      <c r="AP13" s="327"/>
      <c r="AQ13" s="327"/>
      <c r="AR13" s="327"/>
      <c r="AS13" s="327"/>
      <c r="AT13" s="327"/>
      <c r="AU13" s="327"/>
    </row>
    <row r="14" spans="1:48" ht="6" customHeight="1" thickTop="1">
      <c r="E14" s="20"/>
      <c r="H14" s="75"/>
      <c r="AL14" s="76"/>
    </row>
    <row r="15" spans="1:48">
      <c r="E15" s="330" t="s">
        <v>237</v>
      </c>
      <c r="F15" s="332"/>
      <c r="G15" s="343" t="s">
        <v>234</v>
      </c>
      <c r="H15" s="333">
        <v>1</v>
      </c>
      <c r="I15" s="333">
        <f>H15+1</f>
        <v>2</v>
      </c>
      <c r="J15" s="333">
        <f t="shared" ref="J15:AU15" si="0">I15+1</f>
        <v>3</v>
      </c>
      <c r="K15" s="333">
        <f t="shared" si="0"/>
        <v>4</v>
      </c>
      <c r="L15" s="333">
        <f t="shared" si="0"/>
        <v>5</v>
      </c>
      <c r="M15" s="333">
        <f t="shared" si="0"/>
        <v>6</v>
      </c>
      <c r="N15" s="333">
        <f t="shared" si="0"/>
        <v>7</v>
      </c>
      <c r="O15" s="333">
        <f t="shared" si="0"/>
        <v>8</v>
      </c>
      <c r="P15" s="333">
        <f t="shared" si="0"/>
        <v>9</v>
      </c>
      <c r="Q15" s="333">
        <f t="shared" si="0"/>
        <v>10</v>
      </c>
      <c r="R15" s="333">
        <f t="shared" si="0"/>
        <v>11</v>
      </c>
      <c r="S15" s="333">
        <f t="shared" si="0"/>
        <v>12</v>
      </c>
      <c r="T15" s="333">
        <f t="shared" si="0"/>
        <v>13</v>
      </c>
      <c r="U15" s="333">
        <f t="shared" si="0"/>
        <v>14</v>
      </c>
      <c r="V15" s="333">
        <f t="shared" si="0"/>
        <v>15</v>
      </c>
      <c r="W15" s="333">
        <f t="shared" si="0"/>
        <v>16</v>
      </c>
      <c r="X15" s="333">
        <f t="shared" si="0"/>
        <v>17</v>
      </c>
      <c r="Y15" s="333">
        <f t="shared" si="0"/>
        <v>18</v>
      </c>
      <c r="Z15" s="333">
        <f t="shared" si="0"/>
        <v>19</v>
      </c>
      <c r="AA15" s="333">
        <f t="shared" si="0"/>
        <v>20</v>
      </c>
      <c r="AB15" s="333">
        <f t="shared" si="0"/>
        <v>21</v>
      </c>
      <c r="AC15" s="333">
        <f t="shared" si="0"/>
        <v>22</v>
      </c>
      <c r="AD15" s="333">
        <f t="shared" si="0"/>
        <v>23</v>
      </c>
      <c r="AE15" s="333">
        <f t="shared" si="0"/>
        <v>24</v>
      </c>
      <c r="AF15" s="333">
        <f t="shared" si="0"/>
        <v>25</v>
      </c>
      <c r="AG15" s="333">
        <f t="shared" si="0"/>
        <v>26</v>
      </c>
      <c r="AH15" s="333">
        <f t="shared" si="0"/>
        <v>27</v>
      </c>
      <c r="AI15" s="333">
        <f t="shared" si="0"/>
        <v>28</v>
      </c>
      <c r="AJ15" s="333">
        <f t="shared" si="0"/>
        <v>29</v>
      </c>
      <c r="AK15" s="333">
        <f t="shared" si="0"/>
        <v>30</v>
      </c>
      <c r="AL15" s="333">
        <f t="shared" si="0"/>
        <v>31</v>
      </c>
      <c r="AM15" s="333">
        <f t="shared" si="0"/>
        <v>32</v>
      </c>
      <c r="AN15" s="333">
        <f t="shared" si="0"/>
        <v>33</v>
      </c>
      <c r="AO15" s="333">
        <f t="shared" si="0"/>
        <v>34</v>
      </c>
      <c r="AP15" s="333">
        <f t="shared" si="0"/>
        <v>35</v>
      </c>
      <c r="AQ15" s="333">
        <f t="shared" si="0"/>
        <v>36</v>
      </c>
      <c r="AR15" s="333">
        <f t="shared" si="0"/>
        <v>37</v>
      </c>
      <c r="AS15" s="333">
        <f t="shared" si="0"/>
        <v>38</v>
      </c>
      <c r="AT15" s="333">
        <f t="shared" si="0"/>
        <v>39</v>
      </c>
      <c r="AU15" s="333">
        <f t="shared" si="0"/>
        <v>40</v>
      </c>
      <c r="AV15" s="77"/>
    </row>
    <row r="16" spans="1:48">
      <c r="AV16" s="77"/>
    </row>
    <row r="17" spans="1:47">
      <c r="D17" s="314"/>
      <c r="E17" s="324" t="s">
        <v>327</v>
      </c>
      <c r="F17" s="75"/>
      <c r="G17" s="605">
        <f>SUM($H$17:$AU$17)</f>
        <v>1.0000000000000002</v>
      </c>
      <c r="H17" s="271">
        <f>INDEX('Capital Drawdown Schedule'!$F$11:$AS$14,MATCH('Construction Cashflows'!$H$2,'Capital Drawdown Schedule'!$A$11:$A$14,0),MATCH('Construction Cashflows'!H$15,'Capital Drawdown Schedule'!$F$8:$AS$8,0))</f>
        <v>1E-3</v>
      </c>
      <c r="I17" s="271">
        <f>INDEX('Capital Drawdown Schedule'!$F$11:$AS$14,MATCH('Construction Cashflows'!$H$2,'Capital Drawdown Schedule'!$A$11:$A$14,0),MATCH('Construction Cashflows'!I$15,'Capital Drawdown Schedule'!$F$8:$AS$8,0))</f>
        <v>2E-3</v>
      </c>
      <c r="J17" s="271">
        <f>INDEX('Capital Drawdown Schedule'!$F$11:$AS$14,MATCH('Construction Cashflows'!$H$2,'Capital Drawdown Schedule'!$A$11:$A$14,0),MATCH('Construction Cashflows'!J$15,'Capital Drawdown Schedule'!$F$8:$AS$8,0))</f>
        <v>2E-3</v>
      </c>
      <c r="K17" s="271">
        <f>INDEX('Capital Drawdown Schedule'!$F$11:$AS$14,MATCH('Construction Cashflows'!$H$2,'Capital Drawdown Schedule'!$A$11:$A$14,0),MATCH('Construction Cashflows'!K$15,'Capital Drawdown Schedule'!$F$8:$AS$8,0))</f>
        <v>4.0000000000000001E-3</v>
      </c>
      <c r="L17" s="271">
        <f>INDEX('Capital Drawdown Schedule'!$F$11:$AS$14,MATCH('Construction Cashflows'!$H$2,'Capital Drawdown Schedule'!$A$11:$A$14,0),MATCH('Construction Cashflows'!L$15,'Capital Drawdown Schedule'!$F$8:$AS$8,0))</f>
        <v>4.0000000000000001E-3</v>
      </c>
      <c r="M17" s="271">
        <f>INDEX('Capital Drawdown Schedule'!$F$11:$AS$14,MATCH('Construction Cashflows'!$H$2,'Capital Drawdown Schedule'!$A$11:$A$14,0),MATCH('Construction Cashflows'!M$15,'Capital Drawdown Schedule'!$F$8:$AS$8,0))</f>
        <v>4.0000000000000001E-3</v>
      </c>
      <c r="N17" s="271">
        <f>INDEX('Capital Drawdown Schedule'!$F$11:$AS$14,MATCH('Construction Cashflows'!$H$2,'Capital Drawdown Schedule'!$A$11:$A$14,0),MATCH('Construction Cashflows'!N$15,'Capital Drawdown Schedule'!$F$8:$AS$8,0))</f>
        <v>4.0000000000000001E-3</v>
      </c>
      <c r="O17" s="271">
        <f>INDEX('Capital Drawdown Schedule'!$F$11:$AS$14,MATCH('Construction Cashflows'!$H$2,'Capital Drawdown Schedule'!$A$11:$A$14,0),MATCH('Construction Cashflows'!O$15,'Capital Drawdown Schedule'!$F$8:$AS$8,0))</f>
        <v>4.0000000000000001E-3</v>
      </c>
      <c r="P17" s="271">
        <f>INDEX('Capital Drawdown Schedule'!$F$11:$AS$14,MATCH('Construction Cashflows'!$H$2,'Capital Drawdown Schedule'!$A$11:$A$14,0),MATCH('Construction Cashflows'!P$15,'Capital Drawdown Schedule'!$F$8:$AS$8,0))</f>
        <v>4.0000000000000001E-3</v>
      </c>
      <c r="Q17" s="271">
        <f>INDEX('Capital Drawdown Schedule'!$F$11:$AS$14,MATCH('Construction Cashflows'!$H$2,'Capital Drawdown Schedule'!$A$11:$A$14,0),MATCH('Construction Cashflows'!Q$15,'Capital Drawdown Schedule'!$F$8:$AS$8,0))</f>
        <v>3.6999999999999998E-2</v>
      </c>
      <c r="R17" s="271">
        <f>INDEX('Capital Drawdown Schedule'!$F$11:$AS$14,MATCH('Construction Cashflows'!$H$2,'Capital Drawdown Schedule'!$A$11:$A$14,0),MATCH('Construction Cashflows'!R$15,'Capital Drawdown Schedule'!$F$8:$AS$8,0))</f>
        <v>3.6999999999999998E-2</v>
      </c>
      <c r="S17" s="271">
        <f>INDEX('Capital Drawdown Schedule'!$F$11:$AS$14,MATCH('Construction Cashflows'!$H$2,'Capital Drawdown Schedule'!$A$11:$A$14,0),MATCH('Construction Cashflows'!S$15,'Capital Drawdown Schedule'!$F$8:$AS$8,0))</f>
        <v>3.6999999999999998E-2</v>
      </c>
      <c r="T17" s="271">
        <f>INDEX('Capital Drawdown Schedule'!$F$11:$AS$14,MATCH('Construction Cashflows'!$H$2,'Capital Drawdown Schedule'!$A$11:$A$14,0),MATCH('Construction Cashflows'!T$15,'Capital Drawdown Schedule'!$F$8:$AS$8,0))</f>
        <v>2.5000000000000001E-2</v>
      </c>
      <c r="U17" s="271">
        <f>INDEX('Capital Drawdown Schedule'!$F$11:$AS$14,MATCH('Construction Cashflows'!$H$2,'Capital Drawdown Schedule'!$A$11:$A$14,0),MATCH('Construction Cashflows'!U$15,'Capital Drawdown Schedule'!$F$8:$AS$8,0))</f>
        <v>2.5000000000000001E-2</v>
      </c>
      <c r="V17" s="271">
        <f>INDEX('Capital Drawdown Schedule'!$F$11:$AS$14,MATCH('Construction Cashflows'!$H$2,'Capital Drawdown Schedule'!$A$11:$A$14,0),MATCH('Construction Cashflows'!V$15,'Capital Drawdown Schedule'!$F$8:$AS$8,0))</f>
        <v>2.5000000000000001E-2</v>
      </c>
      <c r="W17" s="271">
        <f>INDEX('Capital Drawdown Schedule'!$F$11:$AS$14,MATCH('Construction Cashflows'!$H$2,'Capital Drawdown Schedule'!$A$11:$A$14,0),MATCH('Construction Cashflows'!W$15,'Capital Drawdown Schedule'!$F$8:$AS$8,0))</f>
        <v>2.5000000000000001E-2</v>
      </c>
      <c r="X17" s="271">
        <f>INDEX('Capital Drawdown Schedule'!$F$11:$AS$14,MATCH('Construction Cashflows'!$H$2,'Capital Drawdown Schedule'!$A$11:$A$14,0),MATCH('Construction Cashflows'!X$15,'Capital Drawdown Schedule'!$F$8:$AS$8,0))</f>
        <v>2.5000000000000001E-2</v>
      </c>
      <c r="Y17" s="271">
        <f>INDEX('Capital Drawdown Schedule'!$F$11:$AS$14,MATCH('Construction Cashflows'!$H$2,'Capital Drawdown Schedule'!$A$11:$A$14,0),MATCH('Construction Cashflows'!Y$15,'Capital Drawdown Schedule'!$F$8:$AS$8,0))</f>
        <v>2.5000000000000001E-2</v>
      </c>
      <c r="Z17" s="271">
        <f>INDEX('Capital Drawdown Schedule'!$F$11:$AS$14,MATCH('Construction Cashflows'!$H$2,'Capital Drawdown Schedule'!$A$11:$A$14,0),MATCH('Construction Cashflows'!Z$15,'Capital Drawdown Schedule'!$F$8:$AS$8,0))</f>
        <v>2.5000000000000001E-2</v>
      </c>
      <c r="AA17" s="271">
        <f>INDEX('Capital Drawdown Schedule'!$F$11:$AS$14,MATCH('Construction Cashflows'!$H$2,'Capital Drawdown Schedule'!$A$11:$A$14,0),MATCH('Construction Cashflows'!AA$15,'Capital Drawdown Schedule'!$F$8:$AS$8,0))</f>
        <v>2.5000000000000001E-2</v>
      </c>
      <c r="AB17" s="271">
        <f>INDEX('Capital Drawdown Schedule'!$F$11:$AS$14,MATCH('Construction Cashflows'!$H$2,'Capital Drawdown Schedule'!$A$11:$A$14,0),MATCH('Construction Cashflows'!AB$15,'Capital Drawdown Schedule'!$F$8:$AS$8,0))</f>
        <v>2.5000000000000001E-2</v>
      </c>
      <c r="AC17" s="271">
        <f>INDEX('Capital Drawdown Schedule'!$F$11:$AS$14,MATCH('Construction Cashflows'!$H$2,'Capital Drawdown Schedule'!$A$11:$A$14,0),MATCH('Construction Cashflows'!AC$15,'Capital Drawdown Schedule'!$F$8:$AS$8,0))</f>
        <v>0.113</v>
      </c>
      <c r="AD17" s="271">
        <f>INDEX('Capital Drawdown Schedule'!$F$11:$AS$14,MATCH('Construction Cashflows'!$H$2,'Capital Drawdown Schedule'!$A$11:$A$14,0),MATCH('Construction Cashflows'!AD$15,'Capital Drawdown Schedule'!$F$8:$AS$8,0))</f>
        <v>0.113</v>
      </c>
      <c r="AE17" s="271">
        <f>INDEX('Capital Drawdown Schedule'!$F$11:$AS$14,MATCH('Construction Cashflows'!$H$2,'Capital Drawdown Schedule'!$A$11:$A$14,0),MATCH('Construction Cashflows'!AE$15,'Capital Drawdown Schedule'!$F$8:$AS$8,0))</f>
        <v>0.113</v>
      </c>
      <c r="AF17" s="271">
        <f>INDEX('Capital Drawdown Schedule'!$F$11:$AS$14,MATCH('Construction Cashflows'!$H$2,'Capital Drawdown Schedule'!$A$11:$A$14,0),MATCH('Construction Cashflows'!AF$15,'Capital Drawdown Schedule'!$F$8:$AS$8,0))</f>
        <v>4.8000000000000001E-2</v>
      </c>
      <c r="AG17" s="271">
        <f>INDEX('Capital Drawdown Schedule'!$F$11:$AS$14,MATCH('Construction Cashflows'!$H$2,'Capital Drawdown Schedule'!$A$11:$A$14,0),MATCH('Construction Cashflows'!AG$15,'Capital Drawdown Schedule'!$F$8:$AS$8,0))</f>
        <v>4.8000000000000001E-2</v>
      </c>
      <c r="AH17" s="271">
        <f>INDEX('Capital Drawdown Schedule'!$F$11:$AS$14,MATCH('Construction Cashflows'!$H$2,'Capital Drawdown Schedule'!$A$11:$A$14,0),MATCH('Construction Cashflows'!AH$15,'Capital Drawdown Schedule'!$F$8:$AS$8,0))</f>
        <v>4.8000000000000001E-2</v>
      </c>
      <c r="AI17" s="271">
        <f>INDEX('Capital Drawdown Schedule'!$F$11:$AS$14,MATCH('Construction Cashflows'!$H$2,'Capital Drawdown Schedule'!$A$11:$A$14,0),MATCH('Construction Cashflows'!AI$15,'Capital Drawdown Schedule'!$F$8:$AS$8,0))</f>
        <v>4.8000000000000001E-2</v>
      </c>
      <c r="AJ17" s="271">
        <f>INDEX('Capital Drawdown Schedule'!$F$11:$AS$14,MATCH('Construction Cashflows'!$H$2,'Capital Drawdown Schedule'!$A$11:$A$14,0),MATCH('Construction Cashflows'!AJ$15,'Capital Drawdown Schedule'!$F$8:$AS$8,0))</f>
        <v>4.8000000000000001E-2</v>
      </c>
      <c r="AK17" s="271">
        <f>INDEX('Capital Drawdown Schedule'!$F$11:$AS$14,MATCH('Construction Cashflows'!$H$2,'Capital Drawdown Schedule'!$A$11:$A$14,0),MATCH('Construction Cashflows'!AK$15,'Capital Drawdown Schedule'!$F$8:$AS$8,0))</f>
        <v>4.8000000000000001E-2</v>
      </c>
      <c r="AL17" s="271">
        <f>INDEX('Capital Drawdown Schedule'!$F$11:$AS$14,MATCH('Construction Cashflows'!$H$2,'Capital Drawdown Schedule'!$A$11:$A$14,0),MATCH('Construction Cashflows'!AL$15,'Capital Drawdown Schedule'!$F$8:$AS$8,0))</f>
        <v>6.0000000000000001E-3</v>
      </c>
      <c r="AM17" s="271">
        <f>INDEX('Capital Drawdown Schedule'!$F$11:$AS$14,MATCH('Construction Cashflows'!$H$2,'Capital Drawdown Schedule'!$A$11:$A$14,0),MATCH('Construction Cashflows'!AM$15,'Capital Drawdown Schedule'!$F$8:$AS$8,0))</f>
        <v>2E-3</v>
      </c>
      <c r="AN17" s="271">
        <f>INDEX('Capital Drawdown Schedule'!$F$11:$AS$14,MATCH('Construction Cashflows'!$H$2,'Capital Drawdown Schedule'!$A$11:$A$14,0),MATCH('Construction Cashflows'!AN$15,'Capital Drawdown Schedule'!$F$8:$AS$8,0))</f>
        <v>0</v>
      </c>
      <c r="AO17" s="271">
        <f>INDEX('Capital Drawdown Schedule'!$F$11:$AS$14,MATCH('Construction Cashflows'!$H$2,'Capital Drawdown Schedule'!$A$11:$A$14,0),MATCH('Construction Cashflows'!AO$15,'Capital Drawdown Schedule'!$F$8:$AS$8,0))</f>
        <v>0</v>
      </c>
      <c r="AP17" s="271">
        <f>INDEX('Capital Drawdown Schedule'!$F$11:$AS$14,MATCH('Construction Cashflows'!$H$2,'Capital Drawdown Schedule'!$A$11:$A$14,0),MATCH('Construction Cashflows'!AP$15,'Capital Drawdown Schedule'!$F$8:$AS$8,0))</f>
        <v>0</v>
      </c>
      <c r="AQ17" s="271">
        <f>INDEX('Capital Drawdown Schedule'!$F$11:$AS$14,MATCH('Construction Cashflows'!$H$2,'Capital Drawdown Schedule'!$A$11:$A$14,0),MATCH('Construction Cashflows'!AQ$15,'Capital Drawdown Schedule'!$F$8:$AS$8,0))</f>
        <v>0</v>
      </c>
      <c r="AR17" s="271">
        <f>INDEX('Capital Drawdown Schedule'!$F$11:$AS$14,MATCH('Construction Cashflows'!$H$2,'Capital Drawdown Schedule'!$A$11:$A$14,0),MATCH('Construction Cashflows'!AR$15,'Capital Drawdown Schedule'!$F$8:$AS$8,0))</f>
        <v>0</v>
      </c>
      <c r="AS17" s="271">
        <f>INDEX('Capital Drawdown Schedule'!$F$11:$AS$14,MATCH('Construction Cashflows'!$H$2,'Capital Drawdown Schedule'!$A$11:$A$14,0),MATCH('Construction Cashflows'!AS$15,'Capital Drawdown Schedule'!$F$8:$AS$8,0))</f>
        <v>0</v>
      </c>
      <c r="AT17" s="271">
        <f>INDEX('Capital Drawdown Schedule'!$F$11:$AS$14,MATCH('Construction Cashflows'!$H$2,'Capital Drawdown Schedule'!$A$11:$A$14,0),MATCH('Construction Cashflows'!AT$15,'Capital Drawdown Schedule'!$F$8:$AS$8,0))</f>
        <v>0</v>
      </c>
      <c r="AU17" s="271">
        <f>INDEX('Capital Drawdown Schedule'!$F$11:$AS$14,MATCH('Construction Cashflows'!$H$2,'Capital Drawdown Schedule'!$A$11:$A$14,0),MATCH('Construction Cashflows'!AU$15,'Capital Drawdown Schedule'!$F$8:$AS$8,0))</f>
        <v>0</v>
      </c>
    </row>
    <row r="18" spans="1:47">
      <c r="A18" s="78"/>
      <c r="B18" s="78"/>
      <c r="D18" s="314"/>
      <c r="E18" s="341" t="s">
        <v>326</v>
      </c>
      <c r="F18" s="331"/>
      <c r="G18" s="606">
        <f>INDEX('Annual Updates Calcs'!$M$71:$P$71,MATCH('Construction Cashflows'!$H$2,'Annual Updates Calcs'!$M$1:$P$1,0))/10^6</f>
        <v>183.57499999999999</v>
      </c>
      <c r="H18" s="334">
        <f>$G$18*H$17</f>
        <v>0.18357499999999999</v>
      </c>
      <c r="I18" s="334">
        <f t="shared" ref="I18:AU18" si="1">$G$18*I$17</f>
        <v>0.36714999999999998</v>
      </c>
      <c r="J18" s="334">
        <f t="shared" si="1"/>
        <v>0.36714999999999998</v>
      </c>
      <c r="K18" s="334">
        <f t="shared" si="1"/>
        <v>0.73429999999999995</v>
      </c>
      <c r="L18" s="334">
        <f t="shared" si="1"/>
        <v>0.73429999999999995</v>
      </c>
      <c r="M18" s="334">
        <f t="shared" si="1"/>
        <v>0.73429999999999995</v>
      </c>
      <c r="N18" s="334">
        <f t="shared" si="1"/>
        <v>0.73429999999999995</v>
      </c>
      <c r="O18" s="334">
        <f t="shared" si="1"/>
        <v>0.73429999999999995</v>
      </c>
      <c r="P18" s="334">
        <f t="shared" si="1"/>
        <v>0.73429999999999995</v>
      </c>
      <c r="Q18" s="334">
        <f t="shared" si="1"/>
        <v>6.7922749999999992</v>
      </c>
      <c r="R18" s="334">
        <f t="shared" si="1"/>
        <v>6.7922749999999992</v>
      </c>
      <c r="S18" s="334">
        <f t="shared" si="1"/>
        <v>6.7922749999999992</v>
      </c>
      <c r="T18" s="334">
        <f t="shared" si="1"/>
        <v>4.5893749999999995</v>
      </c>
      <c r="U18" s="334">
        <f t="shared" si="1"/>
        <v>4.5893749999999995</v>
      </c>
      <c r="V18" s="334">
        <f t="shared" si="1"/>
        <v>4.5893749999999995</v>
      </c>
      <c r="W18" s="334">
        <f t="shared" si="1"/>
        <v>4.5893749999999995</v>
      </c>
      <c r="X18" s="334">
        <f t="shared" si="1"/>
        <v>4.5893749999999995</v>
      </c>
      <c r="Y18" s="334">
        <f t="shared" si="1"/>
        <v>4.5893749999999995</v>
      </c>
      <c r="Z18" s="334">
        <f t="shared" si="1"/>
        <v>4.5893749999999995</v>
      </c>
      <c r="AA18" s="334">
        <f t="shared" si="1"/>
        <v>4.5893749999999995</v>
      </c>
      <c r="AB18" s="334">
        <f t="shared" si="1"/>
        <v>4.5893749999999995</v>
      </c>
      <c r="AC18" s="334">
        <f t="shared" si="1"/>
        <v>20.743974999999999</v>
      </c>
      <c r="AD18" s="334">
        <f t="shared" si="1"/>
        <v>20.743974999999999</v>
      </c>
      <c r="AE18" s="334">
        <f t="shared" si="1"/>
        <v>20.743974999999999</v>
      </c>
      <c r="AF18" s="334">
        <f t="shared" si="1"/>
        <v>8.8116000000000003</v>
      </c>
      <c r="AG18" s="334">
        <f t="shared" si="1"/>
        <v>8.8116000000000003</v>
      </c>
      <c r="AH18" s="334">
        <f t="shared" si="1"/>
        <v>8.8116000000000003</v>
      </c>
      <c r="AI18" s="334">
        <f t="shared" si="1"/>
        <v>8.8116000000000003</v>
      </c>
      <c r="AJ18" s="334">
        <f t="shared" si="1"/>
        <v>8.8116000000000003</v>
      </c>
      <c r="AK18" s="334">
        <f t="shared" si="1"/>
        <v>8.8116000000000003</v>
      </c>
      <c r="AL18" s="334">
        <f t="shared" si="1"/>
        <v>1.10145</v>
      </c>
      <c r="AM18" s="334">
        <f t="shared" si="1"/>
        <v>0.36714999999999998</v>
      </c>
      <c r="AN18" s="334">
        <f t="shared" si="1"/>
        <v>0</v>
      </c>
      <c r="AO18" s="334">
        <f t="shared" si="1"/>
        <v>0</v>
      </c>
      <c r="AP18" s="334">
        <f t="shared" si="1"/>
        <v>0</v>
      </c>
      <c r="AQ18" s="334">
        <f t="shared" si="1"/>
        <v>0</v>
      </c>
      <c r="AR18" s="334">
        <f t="shared" si="1"/>
        <v>0</v>
      </c>
      <c r="AS18" s="334">
        <f t="shared" si="1"/>
        <v>0</v>
      </c>
      <c r="AT18" s="334">
        <f t="shared" si="1"/>
        <v>0</v>
      </c>
      <c r="AU18" s="334">
        <f t="shared" si="1"/>
        <v>0</v>
      </c>
    </row>
    <row r="19" spans="1:47">
      <c r="E19" s="325"/>
      <c r="F19" s="75"/>
      <c r="G19" s="75"/>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row>
    <row r="20" spans="1:47">
      <c r="A20" s="81"/>
      <c r="B20" s="367" t="s">
        <v>238</v>
      </c>
      <c r="C20" s="366">
        <f>(1+$H$4)^(1/12)-1</f>
        <v>4.2333616592649115E-3</v>
      </c>
      <c r="E20" s="324" t="s">
        <v>373</v>
      </c>
      <c r="F20" s="75"/>
      <c r="G20" s="75"/>
      <c r="H20" s="79">
        <f t="shared" ref="H20:AU20" si="2">IF(H$15&lt;=$C$2,G23*$C20*$H$3,0)</f>
        <v>0</v>
      </c>
      <c r="I20" s="79">
        <f t="shared" si="2"/>
        <v>3.8856968329977805E-4</v>
      </c>
      <c r="J20" s="79">
        <f t="shared" si="2"/>
        <v>1.1665315278989511E-3</v>
      </c>
      <c r="K20" s="79">
        <f t="shared" si="2"/>
        <v>1.9461400694207728E-3</v>
      </c>
      <c r="L20" s="79">
        <f t="shared" si="2"/>
        <v>3.5045381599966073E-3</v>
      </c>
      <c r="M20" s="79">
        <f t="shared" si="2"/>
        <v>5.0662348819357E-3</v>
      </c>
      <c r="N20" s="79">
        <f t="shared" si="2"/>
        <v>6.6312372173878203E-3</v>
      </c>
      <c r="O20" s="79">
        <f t="shared" si="2"/>
        <v>8.1995521632817221E-3</v>
      </c>
      <c r="P20" s="79">
        <f t="shared" si="2"/>
        <v>9.7711867313564245E-3</v>
      </c>
      <c r="Q20" s="79">
        <f t="shared" si="2"/>
        <v>1.1346147948192557E-2</v>
      </c>
      <c r="R20" s="79">
        <f t="shared" si="2"/>
        <v>2.5747242404136457E-2</v>
      </c>
      <c r="S20" s="79">
        <f t="shared" si="2"/>
        <v>4.0178819380640982E-2</v>
      </c>
      <c r="T20" s="79">
        <f t="shared" si="2"/>
        <v>5.4640943399473035E-2</v>
      </c>
      <c r="U20" s="79">
        <f t="shared" si="2"/>
        <v>6.4470842919374188E-2</v>
      </c>
      <c r="V20" s="79">
        <f t="shared" si="2"/>
        <v>7.4321549199146325E-2</v>
      </c>
      <c r="W20" s="79">
        <f t="shared" si="2"/>
        <v>8.4193106280059188E-2</v>
      </c>
      <c r="X20" s="79">
        <f t="shared" si="2"/>
        <v>9.4085558296603838E-2</v>
      </c>
      <c r="Y20" s="79">
        <f t="shared" si="2"/>
        <v>0.10399894947668999</v>
      </c>
      <c r="Z20" s="79">
        <f t="shared" si="2"/>
        <v>0.11393332414184365</v>
      </c>
      <c r="AA20" s="79">
        <f t="shared" si="2"/>
        <v>0.12388872670740544</v>
      </c>
      <c r="AB20" s="79">
        <f t="shared" si="2"/>
        <v>0.13386520168272903</v>
      </c>
      <c r="AC20" s="79">
        <f t="shared" si="2"/>
        <v>0.14386279367138022</v>
      </c>
      <c r="AD20" s="79">
        <f t="shared" si="2"/>
        <v>0.18807567950171672</v>
      </c>
      <c r="AE20" s="79">
        <f t="shared" si="2"/>
        <v>0.23238214989991302</v>
      </c>
      <c r="AF20" s="79">
        <f t="shared" si="2"/>
        <v>0.27678240295462986</v>
      </c>
      <c r="AG20" s="79">
        <f t="shared" si="2"/>
        <v>0.29601960775933289</v>
      </c>
      <c r="AH20" s="79">
        <f t="shared" si="2"/>
        <v>0.31529753158666179</v>
      </c>
      <c r="AI20" s="79">
        <f t="shared" si="2"/>
        <v>0.33461626062579103</v>
      </c>
      <c r="AJ20" s="79">
        <f t="shared" si="2"/>
        <v>0.35397588124833024</v>
      </c>
      <c r="AK20" s="79">
        <f t="shared" si="2"/>
        <v>0.37337648000871021</v>
      </c>
      <c r="AL20" s="79">
        <f t="shared" si="2"/>
        <v>0.39281814364456968</v>
      </c>
      <c r="AM20" s="79">
        <f t="shared" si="2"/>
        <v>0.39598103237855259</v>
      </c>
      <c r="AN20" s="79">
        <f t="shared" si="2"/>
        <v>0</v>
      </c>
      <c r="AO20" s="79">
        <f t="shared" si="2"/>
        <v>0</v>
      </c>
      <c r="AP20" s="79">
        <f t="shared" si="2"/>
        <v>0</v>
      </c>
      <c r="AQ20" s="79">
        <f t="shared" si="2"/>
        <v>0</v>
      </c>
      <c r="AR20" s="79">
        <f t="shared" si="2"/>
        <v>0</v>
      </c>
      <c r="AS20" s="79">
        <f t="shared" si="2"/>
        <v>0</v>
      </c>
      <c r="AT20" s="79">
        <f t="shared" si="2"/>
        <v>0</v>
      </c>
      <c r="AU20" s="79">
        <f t="shared" si="2"/>
        <v>0</v>
      </c>
    </row>
    <row r="21" spans="1:47">
      <c r="A21" s="81"/>
      <c r="B21" s="367"/>
      <c r="C21" s="81"/>
      <c r="E21" s="341" t="s">
        <v>374</v>
      </c>
      <c r="F21" s="331"/>
      <c r="G21" s="331"/>
      <c r="H21" s="334">
        <f t="shared" ref="H21:AU21" si="3">H20+H18</f>
        <v>0.18357499999999999</v>
      </c>
      <c r="I21" s="334">
        <f t="shared" si="3"/>
        <v>0.36753856968329973</v>
      </c>
      <c r="J21" s="334">
        <f t="shared" si="3"/>
        <v>0.36831653152789895</v>
      </c>
      <c r="K21" s="334">
        <f t="shared" si="3"/>
        <v>0.73624614006942068</v>
      </c>
      <c r="L21" s="334">
        <f t="shared" si="3"/>
        <v>0.73780453815999658</v>
      </c>
      <c r="M21" s="334">
        <f t="shared" si="3"/>
        <v>0.73936623488193565</v>
      </c>
      <c r="N21" s="334">
        <f t="shared" si="3"/>
        <v>0.74093123721738774</v>
      </c>
      <c r="O21" s="334">
        <f t="shared" si="3"/>
        <v>0.74249955216328167</v>
      </c>
      <c r="P21" s="334">
        <f t="shared" si="3"/>
        <v>0.74407118673135642</v>
      </c>
      <c r="Q21" s="334">
        <f t="shared" si="3"/>
        <v>6.8036211479481921</v>
      </c>
      <c r="R21" s="334">
        <f t="shared" si="3"/>
        <v>6.8180222424041359</v>
      </c>
      <c r="S21" s="334">
        <f t="shared" si="3"/>
        <v>6.8324538193806399</v>
      </c>
      <c r="T21" s="334">
        <f t="shared" si="3"/>
        <v>4.6440159433994728</v>
      </c>
      <c r="U21" s="334">
        <f t="shared" si="3"/>
        <v>4.6538458429193739</v>
      </c>
      <c r="V21" s="334">
        <f t="shared" si="3"/>
        <v>4.6636965491991456</v>
      </c>
      <c r="W21" s="334">
        <f t="shared" si="3"/>
        <v>4.6735681062800589</v>
      </c>
      <c r="X21" s="334">
        <f t="shared" si="3"/>
        <v>4.6834605582966038</v>
      </c>
      <c r="Y21" s="334">
        <f t="shared" si="3"/>
        <v>4.6933739494766895</v>
      </c>
      <c r="Z21" s="334">
        <f t="shared" si="3"/>
        <v>4.703308324141843</v>
      </c>
      <c r="AA21" s="334">
        <f t="shared" si="3"/>
        <v>4.7132637267074049</v>
      </c>
      <c r="AB21" s="334">
        <f t="shared" si="3"/>
        <v>4.7232402016827288</v>
      </c>
      <c r="AC21" s="334">
        <f t="shared" si="3"/>
        <v>20.88783779367138</v>
      </c>
      <c r="AD21" s="334">
        <f t="shared" si="3"/>
        <v>20.932050679501717</v>
      </c>
      <c r="AE21" s="334">
        <f t="shared" si="3"/>
        <v>20.976357149899911</v>
      </c>
      <c r="AF21" s="334">
        <f t="shared" si="3"/>
        <v>9.0883824029546307</v>
      </c>
      <c r="AG21" s="334">
        <f t="shared" si="3"/>
        <v>9.1076196077593323</v>
      </c>
      <c r="AH21" s="334">
        <f t="shared" si="3"/>
        <v>9.1268975315866623</v>
      </c>
      <c r="AI21" s="334">
        <f t="shared" si="3"/>
        <v>9.146216260625792</v>
      </c>
      <c r="AJ21" s="334">
        <f t="shared" si="3"/>
        <v>9.1655758812483299</v>
      </c>
      <c r="AK21" s="334">
        <f t="shared" si="3"/>
        <v>9.1849764800087108</v>
      </c>
      <c r="AL21" s="334">
        <f t="shared" si="3"/>
        <v>1.4942681436445697</v>
      </c>
      <c r="AM21" s="334">
        <f t="shared" si="3"/>
        <v>0.76313103237855251</v>
      </c>
      <c r="AN21" s="334">
        <f t="shared" si="3"/>
        <v>0</v>
      </c>
      <c r="AO21" s="334">
        <f t="shared" si="3"/>
        <v>0</v>
      </c>
      <c r="AP21" s="334">
        <f t="shared" si="3"/>
        <v>0</v>
      </c>
      <c r="AQ21" s="334">
        <f t="shared" si="3"/>
        <v>0</v>
      </c>
      <c r="AR21" s="334">
        <f t="shared" si="3"/>
        <v>0</v>
      </c>
      <c r="AS21" s="334">
        <f t="shared" si="3"/>
        <v>0</v>
      </c>
      <c r="AT21" s="334">
        <f t="shared" si="3"/>
        <v>0</v>
      </c>
      <c r="AU21" s="334">
        <f t="shared" si="3"/>
        <v>0</v>
      </c>
    </row>
    <row r="22" spans="1:47">
      <c r="B22" s="266"/>
      <c r="E22" s="325"/>
      <c r="I22" s="80"/>
    </row>
    <row r="23" spans="1:47">
      <c r="B23" s="266"/>
      <c r="E23" s="330" t="s">
        <v>299</v>
      </c>
      <c r="F23" s="335"/>
      <c r="G23" s="335"/>
      <c r="H23" s="336">
        <f>G23+H21</f>
        <v>0.18357499999999999</v>
      </c>
      <c r="I23" s="336">
        <f t="shared" ref="I23:AU23" si="4">H23+I21</f>
        <v>0.55111356968329972</v>
      </c>
      <c r="J23" s="336">
        <f t="shared" si="4"/>
        <v>0.91943010121119872</v>
      </c>
      <c r="K23" s="336">
        <f t="shared" si="4"/>
        <v>1.6556762412806194</v>
      </c>
      <c r="L23" s="336">
        <f t="shared" si="4"/>
        <v>2.3934807794406159</v>
      </c>
      <c r="M23" s="336">
        <f t="shared" si="4"/>
        <v>3.1328470143225515</v>
      </c>
      <c r="N23" s="336">
        <f t="shared" si="4"/>
        <v>3.8737782515399393</v>
      </c>
      <c r="O23" s="336">
        <f t="shared" si="4"/>
        <v>4.6162778037032206</v>
      </c>
      <c r="P23" s="336">
        <f t="shared" si="4"/>
        <v>5.3603489904345771</v>
      </c>
      <c r="Q23" s="336">
        <f t="shared" si="4"/>
        <v>12.163970138382769</v>
      </c>
      <c r="R23" s="336">
        <f t="shared" si="4"/>
        <v>18.981992380786906</v>
      </c>
      <c r="S23" s="336">
        <f t="shared" si="4"/>
        <v>25.814446200167545</v>
      </c>
      <c r="T23" s="336">
        <f t="shared" si="4"/>
        <v>30.458462143567019</v>
      </c>
      <c r="U23" s="336">
        <f t="shared" si="4"/>
        <v>35.112307986486393</v>
      </c>
      <c r="V23" s="336">
        <f t="shared" si="4"/>
        <v>39.776004535685537</v>
      </c>
      <c r="W23" s="336">
        <f t="shared" si="4"/>
        <v>44.449572641965595</v>
      </c>
      <c r="X23" s="336">
        <f t="shared" si="4"/>
        <v>49.133033200262197</v>
      </c>
      <c r="Y23" s="336">
        <f t="shared" si="4"/>
        <v>53.826407149738884</v>
      </c>
      <c r="Z23" s="336">
        <f t="shared" si="4"/>
        <v>58.529715473880728</v>
      </c>
      <c r="AA23" s="336">
        <f t="shared" si="4"/>
        <v>63.242979200588131</v>
      </c>
      <c r="AB23" s="336">
        <f t="shared" si="4"/>
        <v>67.966219402270866</v>
      </c>
      <c r="AC23" s="336">
        <f t="shared" si="4"/>
        <v>88.854057195942246</v>
      </c>
      <c r="AD23" s="336">
        <f t="shared" si="4"/>
        <v>109.78610787544396</v>
      </c>
      <c r="AE23" s="336">
        <f t="shared" si="4"/>
        <v>130.76246502534389</v>
      </c>
      <c r="AF23" s="336">
        <f t="shared" si="4"/>
        <v>139.85084742829852</v>
      </c>
      <c r="AG23" s="336">
        <f t="shared" si="4"/>
        <v>148.95846703605787</v>
      </c>
      <c r="AH23" s="336">
        <f t="shared" si="4"/>
        <v>158.08536456764452</v>
      </c>
      <c r="AI23" s="336">
        <f t="shared" si="4"/>
        <v>167.2315808282703</v>
      </c>
      <c r="AJ23" s="336">
        <f t="shared" si="4"/>
        <v>176.39715670951864</v>
      </c>
      <c r="AK23" s="336">
        <f t="shared" si="4"/>
        <v>185.58213318952735</v>
      </c>
      <c r="AL23" s="336">
        <f t="shared" si="4"/>
        <v>187.07640133317193</v>
      </c>
      <c r="AM23" s="336">
        <f t="shared" si="4"/>
        <v>187.83953236555047</v>
      </c>
      <c r="AN23" s="336">
        <f t="shared" si="4"/>
        <v>187.83953236555047</v>
      </c>
      <c r="AO23" s="336">
        <f t="shared" si="4"/>
        <v>187.83953236555047</v>
      </c>
      <c r="AP23" s="336">
        <f t="shared" si="4"/>
        <v>187.83953236555047</v>
      </c>
      <c r="AQ23" s="336">
        <f t="shared" si="4"/>
        <v>187.83953236555047</v>
      </c>
      <c r="AR23" s="336">
        <f t="shared" si="4"/>
        <v>187.83953236555047</v>
      </c>
      <c r="AS23" s="336">
        <f t="shared" si="4"/>
        <v>187.83953236555047</v>
      </c>
      <c r="AT23" s="336">
        <f t="shared" si="4"/>
        <v>187.83953236555047</v>
      </c>
      <c r="AU23" s="336">
        <f t="shared" si="4"/>
        <v>187.83953236555047</v>
      </c>
    </row>
    <row r="24" spans="1:47">
      <c r="B24" s="266"/>
      <c r="E24" s="325"/>
      <c r="F24" s="75"/>
      <c r="G24" s="75"/>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row>
    <row r="25" spans="1:47">
      <c r="B25" s="266"/>
      <c r="D25" s="314"/>
      <c r="E25" s="99" t="s">
        <v>300</v>
      </c>
      <c r="F25" s="75"/>
      <c r="G25" s="346">
        <f>SUM(H18:AU18)</f>
        <v>183.57499999999999</v>
      </c>
      <c r="H25" s="1164"/>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row>
    <row r="26" spans="1:47">
      <c r="A26" s="81"/>
      <c r="B26" s="367" t="s">
        <v>239</v>
      </c>
      <c r="C26" s="366">
        <f>(1+$H$5)^(1/12)-1</f>
        <v>5.8083096281860147E-3</v>
      </c>
      <c r="E26" s="99" t="s">
        <v>74</v>
      </c>
      <c r="G26" s="346">
        <f>NPV($C26,H18:AU18)*(1+$C26)^C$2</f>
        <v>195.57413073893059</v>
      </c>
      <c r="H26" s="478"/>
      <c r="I26" s="314"/>
      <c r="J26" s="80"/>
    </row>
    <row r="27" spans="1:47">
      <c r="B27" s="267"/>
      <c r="E27" s="99" t="s">
        <v>75</v>
      </c>
      <c r="G27" s="346">
        <f>SUM(H21:AU21)</f>
        <v>187.83953236555047</v>
      </c>
      <c r="H27" s="478"/>
      <c r="I27" s="314"/>
    </row>
    <row r="28" spans="1:47" ht="6" customHeight="1" thickBot="1">
      <c r="E28" s="337"/>
      <c r="F28" s="327"/>
      <c r="G28" s="327"/>
      <c r="H28" s="338"/>
      <c r="I28" s="339"/>
      <c r="J28" s="327"/>
      <c r="K28" s="340"/>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327"/>
    </row>
    <row r="29" spans="1:47" ht="6" customHeight="1" thickTop="1">
      <c r="H29" s="83"/>
      <c r="J29" s="83"/>
      <c r="P29" s="80"/>
    </row>
  </sheetData>
  <conditionalFormatting sqref="G17">
    <cfRule type="expression" dxfId="23" priority="1">
      <formula>ABS($G$17-1)&lt;0.01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3"/>
  </sheetPr>
  <dimension ref="A1:P103"/>
  <sheetViews>
    <sheetView topLeftCell="A2" zoomScale="85" zoomScaleNormal="85" workbookViewId="0">
      <selection activeCell="C97" sqref="C97"/>
    </sheetView>
  </sheetViews>
  <sheetFormatPr defaultRowHeight="12.75" outlineLevelRow="1"/>
  <cols>
    <col min="1" max="1" width="10.42578125" style="126" bestFit="1" customWidth="1"/>
    <col min="2" max="2" width="54.42578125" style="126" customWidth="1"/>
    <col min="3" max="4" width="21.28515625" style="126" bestFit="1" customWidth="1"/>
    <col min="5" max="5" width="21.140625" style="126" bestFit="1" customWidth="1"/>
    <col min="6" max="6" width="21.140625" style="126" customWidth="1"/>
    <col min="7" max="7" width="2.7109375" style="126" customWidth="1"/>
    <col min="8" max="11" width="15.7109375" style="126" customWidth="1"/>
    <col min="12" max="12" width="2.7109375" style="126" customWidth="1"/>
    <col min="13" max="16" width="15.7109375" style="126" customWidth="1"/>
    <col min="17" max="16384" width="9.140625" style="126"/>
  </cols>
  <sheetData>
    <row r="1" spans="1:16" s="315" customFormat="1" hidden="1" outlineLevel="1">
      <c r="D1" s="316"/>
      <c r="E1" s="316"/>
      <c r="F1" s="316"/>
      <c r="M1" s="317" t="s">
        <v>66</v>
      </c>
      <c r="N1" s="317" t="s">
        <v>67</v>
      </c>
      <c r="O1" s="317" t="s">
        <v>101</v>
      </c>
      <c r="P1" s="317" t="s">
        <v>406</v>
      </c>
    </row>
    <row r="2" spans="1:16" collapsed="1">
      <c r="A2" s="126" t="s">
        <v>91</v>
      </c>
      <c r="B2" s="126" t="str">
        <f>'ORTP Summary'!C1</f>
        <v>ISO-NE ORTP 2013 Study</v>
      </c>
    </row>
    <row r="3" spans="1:16">
      <c r="A3" s="126" t="s">
        <v>92</v>
      </c>
      <c r="B3" s="140" t="s">
        <v>113</v>
      </c>
    </row>
    <row r="4" spans="1:16">
      <c r="A4" s="126" t="s">
        <v>114</v>
      </c>
      <c r="B4" s="95" t="s">
        <v>181</v>
      </c>
      <c r="M4" s="261"/>
    </row>
    <row r="5" spans="1:16" ht="13.5" thickBot="1">
      <c r="M5" s="261"/>
    </row>
    <row r="6" spans="1:16" ht="13.5" thickBot="1">
      <c r="B6" s="294" t="s">
        <v>220</v>
      </c>
      <c r="C6" s="306" t="str">
        <f>'CONE Calcs'!D7</f>
        <v>FCA9</v>
      </c>
      <c r="D6" s="288"/>
      <c r="E6" s="288"/>
      <c r="F6" s="281"/>
      <c r="M6" s="261"/>
    </row>
    <row r="7" spans="1:16">
      <c r="B7" s="294"/>
      <c r="C7" s="307"/>
      <c r="D7" s="288"/>
      <c r="E7" s="288"/>
      <c r="F7" s="281"/>
      <c r="M7" s="261"/>
    </row>
    <row r="8" spans="1:16" outlineLevel="1">
      <c r="B8" s="294"/>
      <c r="C8" s="308"/>
      <c r="D8" s="303" t="s">
        <v>222</v>
      </c>
      <c r="E8" s="303" t="s">
        <v>887</v>
      </c>
      <c r="F8" s="281"/>
      <c r="M8" s="261"/>
    </row>
    <row r="9" spans="1:16" outlineLevel="1">
      <c r="B9" s="294"/>
      <c r="C9" s="1212" t="s">
        <v>894</v>
      </c>
      <c r="D9" s="303" t="s">
        <v>216</v>
      </c>
      <c r="E9" s="288">
        <v>2018</v>
      </c>
      <c r="F9" s="281"/>
      <c r="M9" s="261"/>
    </row>
    <row r="10" spans="1:16" outlineLevel="1">
      <c r="B10" s="294"/>
      <c r="C10" s="1212" t="s">
        <v>895</v>
      </c>
      <c r="D10" s="303" t="s">
        <v>223</v>
      </c>
      <c r="E10" s="288">
        <v>2019</v>
      </c>
      <c r="F10" s="281"/>
      <c r="M10" s="261"/>
    </row>
    <row r="11" spans="1:16" outlineLevel="1">
      <c r="B11" s="294"/>
      <c r="C11" s="1212" t="s">
        <v>896</v>
      </c>
      <c r="D11" s="303" t="s">
        <v>224</v>
      </c>
      <c r="E11" s="288">
        <v>2020</v>
      </c>
      <c r="F11" s="281"/>
      <c r="M11" s="261"/>
    </row>
    <row r="12" spans="1:16" outlineLevel="1">
      <c r="B12" s="294"/>
      <c r="C12" s="307"/>
      <c r="D12" s="288"/>
      <c r="E12" s="288"/>
      <c r="F12" s="281"/>
      <c r="M12" s="261"/>
    </row>
    <row r="13" spans="1:16" ht="6" customHeight="1" thickBot="1">
      <c r="B13" s="289"/>
      <c r="C13" s="289"/>
      <c r="D13" s="289"/>
      <c r="E13" s="289"/>
      <c r="F13" s="555"/>
    </row>
    <row r="14" spans="1:16" ht="6" customHeight="1" thickTop="1">
      <c r="B14" s="288"/>
      <c r="C14" s="288"/>
      <c r="D14" s="288"/>
      <c r="E14" s="288"/>
      <c r="F14" s="281"/>
    </row>
    <row r="15" spans="1:16">
      <c r="B15" s="290" t="s">
        <v>188</v>
      </c>
      <c r="C15" s="294" t="s">
        <v>912</v>
      </c>
      <c r="D15" s="294" t="str">
        <f>C6&amp;" Value"</f>
        <v>FCA9 Value</v>
      </c>
      <c r="E15" s="294" t="s">
        <v>187</v>
      </c>
      <c r="F15" s="1145"/>
    </row>
    <row r="16" spans="1:16" ht="6" customHeight="1">
      <c r="B16" s="292"/>
      <c r="C16" s="293"/>
      <c r="D16" s="293"/>
      <c r="E16" s="293"/>
      <c r="F16" s="1146"/>
    </row>
    <row r="17" spans="2:16" ht="6" customHeight="1">
      <c r="B17" s="290"/>
      <c r="C17" s="291"/>
      <c r="D17" s="291"/>
      <c r="E17" s="291"/>
      <c r="F17" s="1145"/>
    </row>
    <row r="18" spans="2:16">
      <c r="B18" s="288" t="s">
        <v>125</v>
      </c>
      <c r="C18" s="1217">
        <f>INDEX('Cost Index Data'!$C:$C,MATCH('Annual Updates Calcs'!$B18&amp;"_FCA9",'Cost Index Data'!$A:$A,0),1)</f>
        <v>225.88333333333335</v>
      </c>
      <c r="D18" s="1217">
        <f>INDEX('Cost Index Data'!$C:$C,MATCH('Annual Updates Calcs'!$B18&amp;"_"&amp;$C$6,'Cost Index Data'!$A:$A,0),1)</f>
        <v>225.88333333333335</v>
      </c>
      <c r="E18" s="1218">
        <f t="shared" ref="E18:E28" si="0">$D18/$C18</f>
        <v>1</v>
      </c>
      <c r="F18" s="1147"/>
    </row>
    <row r="19" spans="2:16">
      <c r="B19" s="288" t="s">
        <v>221</v>
      </c>
      <c r="C19" s="1219">
        <f>INDEX('Cost Index Data'!$C:$C,MATCH('Annual Updates Calcs'!$B19&amp;"_FCA9",'Cost Index Data'!$A:$A,0),1)</f>
        <v>1.21</v>
      </c>
      <c r="D19" s="1219">
        <f>INDEX('Cost Index Data'!$C:$C,MATCH('Annual Updates Calcs'!$B19&amp;"_"&amp;$C$6,'Cost Index Data'!$A:$A,0),1)</f>
        <v>1.21</v>
      </c>
      <c r="E19" s="1218">
        <f t="shared" si="0"/>
        <v>1</v>
      </c>
      <c r="F19" s="1147"/>
    </row>
    <row r="20" spans="2:16">
      <c r="B20" s="288" t="s">
        <v>126</v>
      </c>
      <c r="C20" s="1217">
        <f>INDEX('Cost Index Data'!$C:$C,MATCH('Annual Updates Calcs'!$B20&amp;"_FCA9",'Cost Index Data'!$A:$A,0),1)</f>
        <v>216.5916666666667</v>
      </c>
      <c r="D20" s="1217">
        <f>INDEX('Cost Index Data'!$C:$C,MATCH('Annual Updates Calcs'!$B20&amp;"_"&amp;$C$6,'Cost Index Data'!$A:$A,0),1)</f>
        <v>216.5916666666667</v>
      </c>
      <c r="E20" s="1218">
        <f t="shared" si="0"/>
        <v>1</v>
      </c>
      <c r="F20" s="1147"/>
    </row>
    <row r="21" spans="2:16">
      <c r="B21" s="288" t="s">
        <v>903</v>
      </c>
      <c r="C21" s="1217">
        <f>INDEX('Cost Index Data'!$C:$C,MATCH('Annual Updates Calcs'!$B21&amp;"_FCA9",'Cost Index Data'!$A:$A,0),1)</f>
        <v>107296</v>
      </c>
      <c r="D21" s="1217">
        <f>INDEX('Cost Index Data'!$C:$C,MATCH('Annual Updates Calcs'!$B21&amp;"_"&amp;$C$6,'Cost Index Data'!$A:$A,0),1)</f>
        <v>107296</v>
      </c>
      <c r="E21" s="1218">
        <f t="shared" si="0"/>
        <v>1</v>
      </c>
      <c r="F21" s="1147"/>
    </row>
    <row r="22" spans="2:16">
      <c r="B22" s="288" t="s">
        <v>904</v>
      </c>
      <c r="C22" s="1217">
        <f>INDEX('Cost Index Data'!$C:$C,MATCH('Annual Updates Calcs'!$B22&amp;"_FCA9",'Cost Index Data'!$A:$A,0),1)</f>
        <v>61084</v>
      </c>
      <c r="D22" s="1217">
        <f>INDEX('Cost Index Data'!$C:$C,MATCH('Annual Updates Calcs'!$B22&amp;"_"&amp;$C$6,'Cost Index Data'!$A:$A,0),1)</f>
        <v>61084</v>
      </c>
      <c r="E22" s="1218">
        <f t="shared" si="0"/>
        <v>1</v>
      </c>
      <c r="F22" s="1147"/>
    </row>
    <row r="23" spans="2:16">
      <c r="B23" s="288" t="s">
        <v>881</v>
      </c>
      <c r="C23" s="1217">
        <f>INDEX('Cost Index Data'!$C:$C,MATCH('Annual Updates Calcs'!$B23&amp;"_FCA9",'Cost Index Data'!$A:$A,0),1)</f>
        <v>119283</v>
      </c>
      <c r="D23" s="1217">
        <f>INDEX('Cost Index Data'!$C:$C,MATCH('Annual Updates Calcs'!$B23&amp;"_"&amp;$C$6,'Cost Index Data'!$A:$A,0),1)</f>
        <v>119283</v>
      </c>
      <c r="E23" s="1218">
        <f t="shared" si="0"/>
        <v>1</v>
      </c>
      <c r="F23" s="1147"/>
    </row>
    <row r="24" spans="2:16">
      <c r="B24" s="288" t="s">
        <v>882</v>
      </c>
      <c r="C24" s="1217">
        <f>INDEX('Cost Index Data'!$C:$C,MATCH('Annual Updates Calcs'!$B24&amp;"_FCA9",'Cost Index Data'!$A:$A,0),1)</f>
        <v>85261</v>
      </c>
      <c r="D24" s="1217">
        <f>INDEX('Cost Index Data'!$C:$C,MATCH('Annual Updates Calcs'!$B24&amp;"_"&amp;$C$6,'Cost Index Data'!$A:$A,0),1)</f>
        <v>85261</v>
      </c>
      <c r="E24" s="1218">
        <f t="shared" si="0"/>
        <v>1</v>
      </c>
      <c r="F24" s="1147"/>
    </row>
    <row r="25" spans="2:16">
      <c r="B25" s="288" t="s">
        <v>128</v>
      </c>
      <c r="C25" s="1217">
        <f>INDEX('Cost Index Data'!$C:$C,MATCH('Annual Updates Calcs'!$B25&amp;"_FCA9",'Cost Index Data'!$A:$A,0),1)</f>
        <v>221.15</v>
      </c>
      <c r="D25" s="1217">
        <f>INDEX('Cost Index Data'!$C:$C,MATCH('Annual Updates Calcs'!$B25&amp;"_"&amp;$C$6,'Cost Index Data'!$A:$A,0),1)</f>
        <v>221.15</v>
      </c>
      <c r="E25" s="1218">
        <f t="shared" si="0"/>
        <v>1</v>
      </c>
      <c r="F25" s="1147"/>
    </row>
    <row r="26" spans="2:16">
      <c r="B26" s="288" t="s">
        <v>132</v>
      </c>
      <c r="C26" s="1217">
        <f>INDEX('Cost Index Data'!$C:$C,MATCH('Annual Updates Calcs'!$B26&amp;"_FCA9",'Cost Index Data'!$A:$A,0),1)</f>
        <v>136.74999999999997</v>
      </c>
      <c r="D26" s="1217">
        <f>INDEX('Cost Index Data'!$C:$C,MATCH('Annual Updates Calcs'!$B26&amp;"_"&amp;$C$6,'Cost Index Data'!$A:$A,0),1)</f>
        <v>136.74999999999997</v>
      </c>
      <c r="E26" s="1218">
        <f t="shared" si="0"/>
        <v>1</v>
      </c>
      <c r="F26" s="1147"/>
    </row>
    <row r="27" spans="2:16">
      <c r="B27" s="288" t="s">
        <v>218</v>
      </c>
      <c r="C27" s="1217">
        <f>INDEX('Cost Index Data'!$C:$C,MATCH('Annual Updates Calcs'!$B27&amp;"_FCA9",'Cost Index Data'!$A:$A,0),1)</f>
        <v>112.35833333333333</v>
      </c>
      <c r="D27" s="1217">
        <f>INDEX('Cost Index Data'!$C:$C,MATCH('Annual Updates Calcs'!$B27&amp;"_"&amp;$C$6,'Cost Index Data'!$A:$A,0),1)</f>
        <v>112.35833333333333</v>
      </c>
      <c r="E27" s="1218">
        <f t="shared" si="0"/>
        <v>1</v>
      </c>
      <c r="F27" s="1147"/>
      <c r="M27" s="298" t="s">
        <v>93</v>
      </c>
    </row>
    <row r="28" spans="2:16">
      <c r="B28" s="288" t="s">
        <v>134</v>
      </c>
      <c r="C28" s="1217">
        <f>INDEX('Cost Index Data'!$C:$C,MATCH('Annual Updates Calcs'!$B28&amp;"_FCA9",'Cost Index Data'!$A:$A,0),1)</f>
        <v>105.83925000000001</v>
      </c>
      <c r="D28" s="1217">
        <f>INDEX('Cost Index Data'!$C:$C,MATCH('Annual Updates Calcs'!$B28&amp;"_"&amp;$C$6,'Cost Index Data'!$A:$A,0),1)</f>
        <v>105.83925000000001</v>
      </c>
      <c r="E28" s="1218">
        <f t="shared" si="0"/>
        <v>1</v>
      </c>
      <c r="F28" s="1147"/>
      <c r="M28" s="298" t="s">
        <v>301</v>
      </c>
    </row>
    <row r="29" spans="2:16" ht="6" customHeight="1" thickBot="1">
      <c r="B29" s="289"/>
      <c r="C29" s="289"/>
      <c r="D29" s="289"/>
      <c r="E29" s="289"/>
      <c r="F29" s="555"/>
    </row>
    <row r="30" spans="2:16" ht="6" customHeight="1" thickTop="1">
      <c r="B30" s="288"/>
      <c r="C30" s="288"/>
      <c r="D30" s="288"/>
      <c r="E30" s="288"/>
      <c r="F30" s="281"/>
    </row>
    <row r="32" spans="2:16" ht="6" customHeight="1" thickBot="1">
      <c r="B32" s="157"/>
      <c r="C32" s="157"/>
      <c r="D32" s="157"/>
      <c r="E32" s="157"/>
      <c r="F32" s="157"/>
      <c r="G32" s="157"/>
      <c r="H32" s="183"/>
      <c r="I32" s="181"/>
      <c r="J32" s="181"/>
      <c r="K32" s="181"/>
      <c r="L32" s="157"/>
      <c r="M32" s="183"/>
      <c r="N32" s="181"/>
      <c r="O32" s="181"/>
      <c r="P32" s="181"/>
    </row>
    <row r="33" spans="1:16" ht="6" customHeight="1" thickTop="1">
      <c r="A33" s="141"/>
      <c r="B33" s="89"/>
      <c r="C33" s="142"/>
      <c r="D33" s="142"/>
      <c r="E33"/>
      <c r="F33"/>
      <c r="G33"/>
      <c r="H33" s="182"/>
      <c r="L33"/>
      <c r="M33" s="182"/>
    </row>
    <row r="34" spans="1:16" ht="12.75" customHeight="1">
      <c r="A34" s="141"/>
      <c r="B34" s="1349"/>
      <c r="C34" s="1103" t="s">
        <v>341</v>
      </c>
      <c r="D34" s="1103"/>
      <c r="E34" s="1103"/>
      <c r="F34" s="1103"/>
      <c r="G34" s="166"/>
      <c r="H34" s="1103" t="s">
        <v>187</v>
      </c>
      <c r="I34" s="1103"/>
      <c r="J34" s="1103"/>
      <c r="K34" s="1103"/>
      <c r="L34" s="166"/>
      <c r="M34" s="1103" t="str">
        <f>VLOOKUP($C$6,$C$9:$D$11,2,0)&amp;" Capital Costs ("&amp;VLOOKUP($C$6,$C$9:$E$11,3,0)&amp;"$)"</f>
        <v>2018/19 Capital Costs (2018$)</v>
      </c>
      <c r="N34" s="1103"/>
      <c r="O34" s="1103"/>
      <c r="P34" s="1103"/>
    </row>
    <row r="35" spans="1:16" ht="25.5">
      <c r="A35" s="141"/>
      <c r="B35" s="1349"/>
      <c r="C35" s="193" t="str">
        <f>'Unit Specifications'!C$8</f>
        <v>Combustion Turbine</v>
      </c>
      <c r="D35" s="193" t="str">
        <f>'Unit Specifications'!D$8</f>
        <v>Combined Cycle Gas Turbine</v>
      </c>
      <c r="E35" s="193" t="str">
        <f>'Unit Specifications'!E$8</f>
        <v>On-Shore Wind</v>
      </c>
      <c r="F35" s="193" t="str">
        <f>'Unit Specifications'!F$8</f>
        <v>Solar PV</v>
      </c>
      <c r="G35" s="1155"/>
      <c r="H35" s="193" t="str">
        <f>'Unit Specifications'!C$8</f>
        <v>Combustion Turbine</v>
      </c>
      <c r="I35" s="193" t="str">
        <f>'Unit Specifications'!D$8</f>
        <v>Combined Cycle Gas Turbine</v>
      </c>
      <c r="J35" s="193" t="str">
        <f>'Unit Specifications'!E$8</f>
        <v>On-Shore Wind</v>
      </c>
      <c r="K35" s="193" t="s">
        <v>404</v>
      </c>
      <c r="L35" s="1155"/>
      <c r="M35" s="193" t="str">
        <f>'Unit Specifications'!C$8</f>
        <v>Combustion Turbine</v>
      </c>
      <c r="N35" s="193" t="str">
        <f>'Unit Specifications'!D$8</f>
        <v>Combined Cycle Gas Turbine</v>
      </c>
      <c r="O35" s="193" t="str">
        <f>'Unit Specifications'!E$8</f>
        <v>On-Shore Wind</v>
      </c>
      <c r="P35" s="193" t="str">
        <f>'Unit Specifications'!F$8</f>
        <v>Solar PV</v>
      </c>
    </row>
    <row r="36" spans="1:16" ht="6" customHeight="1">
      <c r="B36" s="158"/>
      <c r="C36" s="159"/>
      <c r="D36" s="159"/>
      <c r="E36" s="159"/>
      <c r="F36" s="159"/>
      <c r="G36" s="159"/>
      <c r="H36" s="160"/>
      <c r="I36" s="242"/>
      <c r="J36" s="242"/>
      <c r="K36" s="242"/>
      <c r="L36" s="159"/>
      <c r="M36" s="160"/>
      <c r="N36" s="242"/>
      <c r="O36" s="242"/>
      <c r="P36" s="242"/>
    </row>
    <row r="37" spans="1:16" ht="6" customHeight="1">
      <c r="A37" s="141"/>
      <c r="B37" s="149"/>
      <c r="C37" s="165"/>
      <c r="D37" s="165"/>
      <c r="E37" s="165"/>
      <c r="F37" s="1144"/>
      <c r="G37" s="165"/>
      <c r="H37" s="150"/>
      <c r="L37" s="165"/>
      <c r="M37" s="150"/>
    </row>
    <row r="38" spans="1:16">
      <c r="A38" s="141"/>
      <c r="B38" s="153" t="s">
        <v>83</v>
      </c>
      <c r="C38" s="152"/>
      <c r="D38" s="152"/>
      <c r="E38" s="152"/>
      <c r="F38" s="152"/>
      <c r="G38" s="152"/>
      <c r="H38" s="173"/>
      <c r="L38" s="152"/>
      <c r="M38" s="173"/>
    </row>
    <row r="39" spans="1:16">
      <c r="A39" s="141"/>
      <c r="B39" s="161" t="s">
        <v>103</v>
      </c>
      <c r="C39" s="152"/>
      <c r="D39" s="152"/>
      <c r="E39" s="152"/>
      <c r="F39" s="152"/>
      <c r="G39" s="152"/>
      <c r="H39" s="173"/>
      <c r="L39" s="152"/>
      <c r="M39" s="173"/>
    </row>
    <row r="40" spans="1:16">
      <c r="A40" s="141"/>
      <c r="B40" s="369" t="s">
        <v>247</v>
      </c>
      <c r="C40" s="299" t="s">
        <v>125</v>
      </c>
      <c r="D40" s="299" t="s">
        <v>125</v>
      </c>
      <c r="E40" s="300" t="s">
        <v>124</v>
      </c>
      <c r="F40" s="300" t="s">
        <v>124</v>
      </c>
      <c r="G40" s="155"/>
      <c r="H40" s="295">
        <f t="shared" ref="H40:J44" si="1">IF(C40="-","n.a.",INDEX($E$18:$E$28,MATCH(C40,$B$18:$B$28,0),1))</f>
        <v>1</v>
      </c>
      <c r="I40" s="295">
        <f t="shared" si="1"/>
        <v>1</v>
      </c>
      <c r="J40" s="295" t="str">
        <f t="shared" si="1"/>
        <v>n.a.</v>
      </c>
      <c r="K40" s="295"/>
      <c r="L40" s="155"/>
      <c r="M40" s="404">
        <f>IF(AND(ISNUMBER('Capital Costs'!M16),ISNUMBER('Annual Updates Calcs'!H40)),ROUND('Annual Updates Calcs'!H40*'Capital Costs'!M16,-3), "n.a.")</f>
        <v>88328000</v>
      </c>
      <c r="N40" s="404">
        <f>IF(AND(ISNUMBER('Capital Costs'!N16),ISNUMBER('Annual Updates Calcs'!I40)),ROUND('Annual Updates Calcs'!I40*'Capital Costs'!N16,-3), "n.a.")</f>
        <v>102574000</v>
      </c>
      <c r="O40" s="404" t="str">
        <f>IF(AND(ISNUMBER('Capital Costs'!O16),ISNUMBER('Annual Updates Calcs'!J40)),ROUND('Annual Updates Calcs'!J40*'Capital Costs'!O16,-3), "n.a.")</f>
        <v>n.a.</v>
      </c>
      <c r="P40" s="404"/>
    </row>
    <row r="41" spans="1:16">
      <c r="A41" s="141"/>
      <c r="B41" s="369" t="s">
        <v>246</v>
      </c>
      <c r="C41" s="299" t="s">
        <v>126</v>
      </c>
      <c r="D41" s="299" t="s">
        <v>126</v>
      </c>
      <c r="E41" s="300" t="s">
        <v>124</v>
      </c>
      <c r="F41" s="300" t="s">
        <v>124</v>
      </c>
      <c r="G41" s="155"/>
      <c r="H41" s="295">
        <f t="shared" si="1"/>
        <v>1</v>
      </c>
      <c r="I41" s="295">
        <f t="shared" si="1"/>
        <v>1</v>
      </c>
      <c r="J41" s="295" t="str">
        <f t="shared" si="1"/>
        <v>n.a.</v>
      </c>
      <c r="K41" s="295"/>
      <c r="L41" s="155"/>
      <c r="M41" s="404">
        <f>IF(AND(ISNUMBER('Capital Costs'!M17),ISNUMBER('Annual Updates Calcs'!H41)),ROUND('Annual Updates Calcs'!H41*'Capital Costs'!M17,-3), "n.a.")</f>
        <v>15956000</v>
      </c>
      <c r="N41" s="404">
        <f>IF(AND(ISNUMBER('Capital Costs'!N17),ISNUMBER('Annual Updates Calcs'!I41)),ROUND('Annual Updates Calcs'!I41*'Capital Costs'!N17,-3), "n.a.")</f>
        <v>49008000</v>
      </c>
      <c r="O41" s="404" t="str">
        <f>IF(AND(ISNUMBER('Capital Costs'!O17),ISNUMBER('Annual Updates Calcs'!J41)),ROUND('Annual Updates Calcs'!J41*'Capital Costs'!O17,-3), "n.a.")</f>
        <v>n.a.</v>
      </c>
      <c r="P41" s="404"/>
    </row>
    <row r="42" spans="1:16">
      <c r="A42" s="141"/>
      <c r="B42" s="369" t="s">
        <v>305</v>
      </c>
      <c r="C42" s="300" t="s">
        <v>124</v>
      </c>
      <c r="D42" s="299" t="s">
        <v>126</v>
      </c>
      <c r="E42" s="300" t="s">
        <v>124</v>
      </c>
      <c r="F42" s="300" t="s">
        <v>124</v>
      </c>
      <c r="G42" s="155"/>
      <c r="H42" s="295" t="str">
        <f>IF(C42="-","n.a.",INDEX($E$18:$E$28,MATCH(C42,$B$18:$B$28,0),1))</f>
        <v>n.a.</v>
      </c>
      <c r="I42" s="295">
        <f t="shared" si="1"/>
        <v>1</v>
      </c>
      <c r="J42" s="295" t="str">
        <f t="shared" si="1"/>
        <v>n.a.</v>
      </c>
      <c r="K42" s="295"/>
      <c r="L42" s="155"/>
      <c r="M42" s="404" t="str">
        <f>IF(AND(ISNUMBER('Capital Costs'!M18),ISNUMBER('Annual Updates Calcs'!H42)),ROUND('Annual Updates Calcs'!H42*'Capital Costs'!M18,-3), "n.a.")</f>
        <v>n.a.</v>
      </c>
      <c r="N42" s="404">
        <f>IF(AND(ISNUMBER('Capital Costs'!N18),ISNUMBER('Annual Updates Calcs'!I42)),ROUND('Annual Updates Calcs'!I42*'Capital Costs'!N18,-3), "n.a.")</f>
        <v>30658000</v>
      </c>
      <c r="O42" s="404" t="str">
        <f>IF(AND(ISNUMBER('Capital Costs'!O18),ISNUMBER('Annual Updates Calcs'!J42)),ROUND('Annual Updates Calcs'!J42*'Capital Costs'!O18,-3), "n.a.")</f>
        <v>n.a.</v>
      </c>
      <c r="P42" s="404"/>
    </row>
    <row r="43" spans="1:16">
      <c r="B43" s="369" t="s">
        <v>249</v>
      </c>
      <c r="C43" s="300" t="s">
        <v>124</v>
      </c>
      <c r="D43" s="299" t="s">
        <v>125</v>
      </c>
      <c r="E43" s="300" t="s">
        <v>124</v>
      </c>
      <c r="F43" s="300" t="s">
        <v>124</v>
      </c>
      <c r="G43" s="155"/>
      <c r="H43" s="295" t="str">
        <f t="shared" si="1"/>
        <v>n.a.</v>
      </c>
      <c r="I43" s="295">
        <f t="shared" si="1"/>
        <v>1</v>
      </c>
      <c r="J43" s="295" t="str">
        <f t="shared" si="1"/>
        <v>n.a.</v>
      </c>
      <c r="K43" s="295"/>
      <c r="L43" s="155"/>
      <c r="M43" s="404" t="str">
        <f>IF(AND(ISNUMBER('Capital Costs'!M19),ISNUMBER('Annual Updates Calcs'!H43)),ROUND('Annual Updates Calcs'!H43*'Capital Costs'!M19,-3), "n.a.")</f>
        <v>n.a.</v>
      </c>
      <c r="N43" s="404">
        <f>IF(AND(ISNUMBER('Capital Costs'!N19),ISNUMBER('Annual Updates Calcs'!I43)),ROUND('Annual Updates Calcs'!I43*'Capital Costs'!N19,-3), "n.a.")</f>
        <v>41030000</v>
      </c>
      <c r="O43" s="404" t="str">
        <f>IF(AND(ISNUMBER('Capital Costs'!O19),ISNUMBER('Annual Updates Calcs'!J43)),ROUND('Annual Updates Calcs'!J43*'Capital Costs'!O19,-3), "n.a.")</f>
        <v>n.a.</v>
      </c>
      <c r="P43" s="404"/>
    </row>
    <row r="44" spans="1:16">
      <c r="B44" s="369" t="s">
        <v>250</v>
      </c>
      <c r="C44" s="300" t="s">
        <v>124</v>
      </c>
      <c r="D44" s="300" t="s">
        <v>124</v>
      </c>
      <c r="E44" s="299" t="s">
        <v>221</v>
      </c>
      <c r="F44" s="300" t="s">
        <v>124</v>
      </c>
      <c r="G44" s="152"/>
      <c r="H44" s="295" t="str">
        <f t="shared" si="1"/>
        <v>n.a.</v>
      </c>
      <c r="I44" s="295" t="str">
        <f t="shared" si="1"/>
        <v>n.a.</v>
      </c>
      <c r="J44" s="295">
        <f t="shared" si="1"/>
        <v>1</v>
      </c>
      <c r="K44" s="295"/>
      <c r="L44" s="152"/>
      <c r="M44" s="404" t="str">
        <f>IF(AND(ISNUMBER('Capital Costs'!M20),ISNUMBER('Annual Updates Calcs'!H44)),ROUND('Annual Updates Calcs'!H44*'Capital Costs'!M20,-3), "n.a.")</f>
        <v>n.a.</v>
      </c>
      <c r="N44" s="404" t="str">
        <f>IF(AND(ISNUMBER('Capital Costs'!N20),ISNUMBER('Annual Updates Calcs'!I44)),ROUND('Annual Updates Calcs'!I44*'Capital Costs'!N20,-3), "n.a.")</f>
        <v>n.a.</v>
      </c>
      <c r="O44" s="404">
        <f>IF(AND(ISNUMBER('Capital Costs'!O20),ISNUMBER('Annual Updates Calcs'!J44)),ROUND('Annual Updates Calcs'!J44*'Capital Costs'!O20,-3), "n.a.")</f>
        <v>88809000</v>
      </c>
      <c r="P44" s="404"/>
    </row>
    <row r="45" spans="1:16">
      <c r="B45" s="369" t="s">
        <v>855</v>
      </c>
      <c r="C45" s="300" t="s">
        <v>124</v>
      </c>
      <c r="D45" s="300" t="s">
        <v>124</v>
      </c>
      <c r="E45" s="300" t="s">
        <v>124</v>
      </c>
      <c r="F45" s="300" t="s">
        <v>124</v>
      </c>
      <c r="G45" s="152"/>
      <c r="H45" s="295"/>
      <c r="I45" s="295"/>
      <c r="J45" s="295"/>
      <c r="K45" s="295"/>
      <c r="L45" s="152"/>
      <c r="M45" s="404" t="str">
        <f>IF(AND(ISNUMBER('Capital Costs'!M21),ISNUMBER('Annual Updates Calcs'!H45)),ROUND('Annual Updates Calcs'!H45*'Capital Costs'!M21,-3), "n.a.")</f>
        <v>n.a.</v>
      </c>
      <c r="N45" s="404" t="str">
        <f>IF(AND(ISNUMBER('Capital Costs'!N21),ISNUMBER('Annual Updates Calcs'!I45)),ROUND('Annual Updates Calcs'!I45*'Capital Costs'!N21,-3), "n.a.")</f>
        <v>n.a.</v>
      </c>
      <c r="O45" s="404" t="str">
        <f>IF(AND(ISNUMBER('Capital Costs'!O21),ISNUMBER('Annual Updates Calcs'!J45)),ROUND('Annual Updates Calcs'!J45*'Capital Costs'!O21,-3), "n.a.")</f>
        <v>n.a.</v>
      </c>
      <c r="P45" s="404"/>
    </row>
    <row r="46" spans="1:16">
      <c r="B46" s="369" t="s">
        <v>251</v>
      </c>
      <c r="C46" s="299" t="s">
        <v>126</v>
      </c>
      <c r="D46" s="299" t="s">
        <v>126</v>
      </c>
      <c r="E46" s="299" t="s">
        <v>126</v>
      </c>
      <c r="F46" s="300" t="s">
        <v>124</v>
      </c>
      <c r="G46" s="152"/>
      <c r="H46" s="295">
        <f>IF(C46="-","n.a.",INDEX($E$18:$E$28,MATCH(C46,$B$18:$B$28,0),1))</f>
        <v>1</v>
      </c>
      <c r="I46" s="295">
        <f>IF(D46="-","n.a.",INDEX($E$18:$E$28,MATCH(D46,$B$18:$B$28,0),1))</f>
        <v>1</v>
      </c>
      <c r="J46" s="295">
        <f>IF(E46="-","n.a.",INDEX($E$18:$E$28,MATCH(E46,$B$18:$B$28,0),1))</f>
        <v>1</v>
      </c>
      <c r="K46" s="295"/>
      <c r="L46" s="152"/>
      <c r="M46" s="404">
        <f>IF(AND(ISNUMBER('Capital Costs'!M22),ISNUMBER('Annual Updates Calcs'!H46)),ROUND('Annual Updates Calcs'!H46*'Capital Costs'!M22,-3), "n.a.")</f>
        <v>33066000</v>
      </c>
      <c r="N46" s="404">
        <f>IF(AND(ISNUMBER('Capital Costs'!N22),ISNUMBER('Annual Updates Calcs'!I46)),ROUND('Annual Updates Calcs'!I46*'Capital Costs'!N22,-3), "n.a.")</f>
        <v>57092000</v>
      </c>
      <c r="O46" s="404">
        <f>IF(AND(ISNUMBER('Capital Costs'!O22),ISNUMBER('Annual Updates Calcs'!J46)),ROUND('Annual Updates Calcs'!J46*'Capital Costs'!O22,-3), "n.a.")</f>
        <v>6831000</v>
      </c>
      <c r="P46" s="404"/>
    </row>
    <row r="47" spans="1:16" s="95" customFormat="1">
      <c r="B47" s="370" t="s">
        <v>248</v>
      </c>
      <c r="C47" s="301"/>
      <c r="D47" s="301"/>
      <c r="E47" s="301"/>
      <c r="F47" s="301"/>
      <c r="G47" s="296"/>
      <c r="H47" s="297"/>
      <c r="I47" s="297"/>
      <c r="J47" s="297"/>
      <c r="K47" s="297"/>
      <c r="L47" s="296"/>
      <c r="M47" s="429">
        <f>SUM(M40:M46)</f>
        <v>137350000</v>
      </c>
      <c r="N47" s="429">
        <f>SUM(N40:N46)</f>
        <v>280362000</v>
      </c>
      <c r="O47" s="429">
        <f>SUM(O40:O46)</f>
        <v>95640000</v>
      </c>
      <c r="P47" s="429"/>
    </row>
    <row r="48" spans="1:16">
      <c r="B48" s="161" t="s">
        <v>127</v>
      </c>
      <c r="C48" s="299" t="s">
        <v>903</v>
      </c>
      <c r="D48" s="299" t="s">
        <v>903</v>
      </c>
      <c r="E48" s="299" t="s">
        <v>904</v>
      </c>
      <c r="F48" s="300" t="s">
        <v>124</v>
      </c>
      <c r="G48" s="152"/>
      <c r="H48" s="295">
        <f t="shared" ref="H48:J50" si="2">IF(C48="-","n.a.",INDEX($E$18:$E$28,MATCH(C48,$B$18:$B$28,0),1))</f>
        <v>1</v>
      </c>
      <c r="I48" s="295">
        <f t="shared" si="2"/>
        <v>1</v>
      </c>
      <c r="J48" s="295">
        <f t="shared" si="2"/>
        <v>1</v>
      </c>
      <c r="K48" s="295"/>
      <c r="L48" s="152"/>
      <c r="M48" s="404">
        <f>IF(AND(ISNUMBER('Capital Costs'!M24),ISNUMBER('Annual Updates Calcs'!H48)),ROUND('Annual Updates Calcs'!H48*'Capital Costs'!M24,-3), "n.a.")</f>
        <v>46415000</v>
      </c>
      <c r="N48" s="404">
        <f>IF(AND(ISNUMBER('Capital Costs'!N24),ISNUMBER('Annual Updates Calcs'!I48)),ROUND('Annual Updates Calcs'!I48*'Capital Costs'!N24,-3), "n.a.")</f>
        <v>185292000</v>
      </c>
      <c r="O48" s="404">
        <f>IF(AND(ISNUMBER('Capital Costs'!O24),ISNUMBER('Annual Updates Calcs'!J48)),ROUND('Annual Updates Calcs'!J48*'Capital Costs'!O24,-3), "n.a.")</f>
        <v>8647000</v>
      </c>
      <c r="P48" s="404"/>
    </row>
    <row r="49" spans="2:16" ht="12.75" customHeight="1">
      <c r="B49" s="164" t="s">
        <v>161</v>
      </c>
      <c r="C49" s="299" t="s">
        <v>881</v>
      </c>
      <c r="D49" s="299" t="s">
        <v>881</v>
      </c>
      <c r="E49" s="299" t="s">
        <v>882</v>
      </c>
      <c r="F49" s="300" t="s">
        <v>124</v>
      </c>
      <c r="G49" s="152"/>
      <c r="H49" s="295">
        <f t="shared" si="2"/>
        <v>1</v>
      </c>
      <c r="I49" s="295">
        <f t="shared" si="2"/>
        <v>1</v>
      </c>
      <c r="J49" s="295">
        <f t="shared" si="2"/>
        <v>1</v>
      </c>
      <c r="K49" s="295"/>
      <c r="L49" s="152"/>
      <c r="M49" s="404">
        <f>IF(AND(ISNUMBER('Capital Costs'!M25),ISNUMBER('Annual Updates Calcs'!H49)),ROUND('Annual Updates Calcs'!H49*'Capital Costs'!M25,-3), "n.a.")</f>
        <v>16975000</v>
      </c>
      <c r="N49" s="404">
        <f>IF(AND(ISNUMBER('Capital Costs'!N25),ISNUMBER('Annual Updates Calcs'!I49)),ROUND('Annual Updates Calcs'!I49*'Capital Costs'!N25,-3), "n.a.")</f>
        <v>44277000</v>
      </c>
      <c r="O49" s="404">
        <f>IF(AND(ISNUMBER('Capital Costs'!O25),ISNUMBER('Annual Updates Calcs'!J49)),ROUND('Annual Updates Calcs'!J49*'Capital Costs'!O25,-3), "n.a.")</f>
        <v>2161000</v>
      </c>
      <c r="P49" s="404"/>
    </row>
    <row r="50" spans="2:16">
      <c r="B50" s="161" t="s">
        <v>102</v>
      </c>
      <c r="C50" s="299" t="s">
        <v>128</v>
      </c>
      <c r="D50" s="299" t="s">
        <v>128</v>
      </c>
      <c r="E50" s="299" t="s">
        <v>128</v>
      </c>
      <c r="F50" s="300" t="s">
        <v>124</v>
      </c>
      <c r="G50" s="152"/>
      <c r="H50" s="295">
        <f t="shared" si="2"/>
        <v>1</v>
      </c>
      <c r="I50" s="295">
        <f t="shared" si="2"/>
        <v>1</v>
      </c>
      <c r="J50" s="295">
        <f t="shared" si="2"/>
        <v>1</v>
      </c>
      <c r="K50" s="295"/>
      <c r="L50" s="152"/>
      <c r="M50" s="404">
        <f>IF(AND(ISNUMBER('Capital Costs'!M26),ISNUMBER('Annual Updates Calcs'!H50)),ROUND('Annual Updates Calcs'!H50*'Capital Costs'!M26,-3), "n.a.")</f>
        <v>7986000</v>
      </c>
      <c r="N50" s="404">
        <f>IF(AND(ISNUMBER('Capital Costs'!N26),ISNUMBER('Annual Updates Calcs'!I50)),ROUND('Annual Updates Calcs'!I50*'Capital Costs'!N26,-3), "n.a.")</f>
        <v>37836000</v>
      </c>
      <c r="O50" s="404">
        <f>IF(AND(ISNUMBER('Capital Costs'!O26),ISNUMBER('Annual Updates Calcs'!J50)),ROUND('Annual Updates Calcs'!J50*'Capital Costs'!O26,-3), "n.a.")</f>
        <v>7514000</v>
      </c>
      <c r="P50" s="404"/>
    </row>
    <row r="51" spans="2:16">
      <c r="B51" s="161" t="s">
        <v>306</v>
      </c>
      <c r="C51" s="299"/>
      <c r="D51" s="299"/>
      <c r="E51" s="299"/>
      <c r="F51" s="299"/>
      <c r="G51" s="152"/>
      <c r="H51" s="295"/>
      <c r="I51" s="295"/>
      <c r="J51" s="295"/>
      <c r="K51" s="295"/>
      <c r="L51" s="152"/>
      <c r="M51" s="415">
        <f>ROUND((M47+M50)*'Cost Assumptions'!D$33,-3)</f>
        <v>9084000</v>
      </c>
      <c r="N51" s="415">
        <f>ROUND((N47+N50)*'Cost Assumptions'!E$33,-3)</f>
        <v>19887000</v>
      </c>
      <c r="O51" s="415">
        <f>ROUND((O47+O50)*'Cost Assumptions'!F$33,-3)</f>
        <v>5158000</v>
      </c>
      <c r="P51" s="415"/>
    </row>
    <row r="52" spans="2:16">
      <c r="B52" s="161" t="s">
        <v>129</v>
      </c>
      <c r="C52" s="300"/>
      <c r="D52" s="300"/>
      <c r="E52" s="300"/>
      <c r="F52" s="300"/>
      <c r="G52" s="152"/>
      <c r="H52" s="295"/>
      <c r="I52" s="295"/>
      <c r="J52" s="295"/>
      <c r="K52" s="295"/>
      <c r="L52" s="152"/>
      <c r="M52" s="414">
        <f>ROUND(SUM(M$47:M$51)*'Cost Assumptions'!D$19,-3)</f>
        <v>21781000</v>
      </c>
      <c r="N52" s="414">
        <f>ROUND(SUM(N$47:N$51)*'Cost Assumptions'!E$19,-3)</f>
        <v>68118000</v>
      </c>
      <c r="O52" s="414">
        <f>ROUND(SUM(O$47:O$51)*'Cost Assumptions'!F$19,-3)</f>
        <v>11912000</v>
      </c>
      <c r="P52" s="414"/>
    </row>
    <row r="53" spans="2:16">
      <c r="B53" s="161" t="s">
        <v>182</v>
      </c>
      <c r="C53" s="300"/>
      <c r="D53" s="300"/>
      <c r="E53" s="300"/>
      <c r="F53" s="300"/>
      <c r="G53" s="152"/>
      <c r="H53" s="295"/>
      <c r="I53" s="295"/>
      <c r="J53" s="295"/>
      <c r="K53" s="295"/>
      <c r="L53" s="152"/>
      <c r="M53" s="414">
        <f>ROUND(SUM(M$47:M$52)*'Cost Assumptions'!D$20,-3)</f>
        <v>23959000</v>
      </c>
      <c r="N53" s="414">
        <f>ROUND(SUM(N$47:N$52)*'Cost Assumptions'!E$20,-3)</f>
        <v>63577000</v>
      </c>
      <c r="O53" s="414">
        <f>ROUND(SUM(O$47:O$52)*'Cost Assumptions'!F$20,-3)</f>
        <v>13103000</v>
      </c>
      <c r="P53" s="414"/>
    </row>
    <row r="54" spans="2:16">
      <c r="B54" s="226" t="s">
        <v>130</v>
      </c>
      <c r="C54" s="299"/>
      <c r="D54" s="299"/>
      <c r="E54" s="299"/>
      <c r="F54" s="299"/>
      <c r="G54" s="152"/>
      <c r="H54" s="173"/>
      <c r="L54" s="152"/>
      <c r="M54" s="429">
        <f>SUM(M$47:M$53)</f>
        <v>263550000</v>
      </c>
      <c r="N54" s="429">
        <f>SUM(N$47:N$53)</f>
        <v>699349000</v>
      </c>
      <c r="O54" s="429">
        <f>SUM(O$47:O$53)</f>
        <v>144135000</v>
      </c>
      <c r="P54" s="429"/>
    </row>
    <row r="55" spans="2:16" ht="6" customHeight="1">
      <c r="B55" s="162"/>
      <c r="C55" s="302"/>
      <c r="D55" s="302"/>
      <c r="E55" s="302"/>
      <c r="F55" s="302"/>
      <c r="G55" s="163"/>
      <c r="H55" s="184"/>
      <c r="I55" s="242"/>
      <c r="J55" s="242"/>
      <c r="K55" s="242"/>
      <c r="L55" s="163"/>
      <c r="M55" s="406"/>
      <c r="N55" s="407"/>
      <c r="O55" s="407"/>
      <c r="P55" s="407"/>
    </row>
    <row r="56" spans="2:16" ht="6" customHeight="1">
      <c r="B56" s="147"/>
      <c r="C56" s="299"/>
      <c r="D56" s="299"/>
      <c r="E56" s="299"/>
      <c r="F56" s="299"/>
      <c r="G56" s="152"/>
      <c r="H56" s="173"/>
      <c r="L56" s="152"/>
      <c r="M56" s="408"/>
      <c r="N56" s="409"/>
      <c r="O56" s="409"/>
      <c r="P56" s="409"/>
    </row>
    <row r="57" spans="2:16">
      <c r="B57" s="153" t="s">
        <v>122</v>
      </c>
      <c r="C57" s="299"/>
      <c r="D57" s="299"/>
      <c r="E57" s="299"/>
      <c r="F57" s="299"/>
      <c r="G57" s="152"/>
      <c r="H57" s="173"/>
      <c r="L57" s="152"/>
      <c r="M57" s="408"/>
      <c r="N57" s="409"/>
      <c r="O57" s="409"/>
      <c r="P57" s="409"/>
    </row>
    <row r="58" spans="2:16">
      <c r="B58" s="167" t="s">
        <v>120</v>
      </c>
      <c r="C58" s="431"/>
      <c r="D58" s="431"/>
      <c r="E58" s="431"/>
      <c r="F58" s="431"/>
      <c r="G58" s="152"/>
      <c r="H58" s="295"/>
      <c r="I58" s="295"/>
      <c r="J58" s="295"/>
      <c r="K58" s="295"/>
      <c r="L58" s="152"/>
      <c r="M58" s="415">
        <f>ROUND(M54*'Cost Assumptions'!D$21,-3)</f>
        <v>18449000</v>
      </c>
      <c r="N58" s="415">
        <f>ROUND(N54*'Cost Assumptions'!E$21,-3)</f>
        <v>48954000</v>
      </c>
      <c r="O58" s="415">
        <f>ROUND(O54*'Cost Assumptions'!F$21,-3)</f>
        <v>10089000</v>
      </c>
      <c r="P58" s="415"/>
    </row>
    <row r="59" spans="2:16">
      <c r="B59" s="161" t="s">
        <v>131</v>
      </c>
      <c r="C59" s="299" t="s">
        <v>132</v>
      </c>
      <c r="D59" s="299" t="s">
        <v>132</v>
      </c>
      <c r="E59" s="299" t="s">
        <v>132</v>
      </c>
      <c r="F59" s="300" t="s">
        <v>124</v>
      </c>
      <c r="G59" s="152"/>
      <c r="H59" s="295">
        <f t="shared" ref="H59:J63" si="3">IF(C59="-","n.a.",INDEX($E$18:$E$28,MATCH(C59,$B$18:$B$28,0),1))</f>
        <v>1</v>
      </c>
      <c r="I59" s="295">
        <f t="shared" si="3"/>
        <v>1</v>
      </c>
      <c r="J59" s="295">
        <f t="shared" si="3"/>
        <v>1</v>
      </c>
      <c r="K59" s="295"/>
      <c r="L59" s="152"/>
      <c r="M59" s="404">
        <f>IF(AND(ISNUMBER('Capital Costs'!M35),ISNUMBER('Annual Updates Calcs'!H59)),ROUND('Annual Updates Calcs'!H59*'Capital Costs'!M35,-3), "n.a.")</f>
        <v>4559000</v>
      </c>
      <c r="N59" s="404">
        <f>IF(AND(ISNUMBER('Capital Costs'!N35),ISNUMBER('Annual Updates Calcs'!I59)),ROUND('Annual Updates Calcs'!I59*'Capital Costs'!N35,-3), "n.a.")</f>
        <v>18235000</v>
      </c>
      <c r="O59" s="404">
        <f>IF(AND(ISNUMBER('Capital Costs'!O35),ISNUMBER('Annual Updates Calcs'!J59)),ROUND('Annual Updates Calcs'!J59*'Capital Costs'!O35,-3), "n.a.")</f>
        <v>21655000</v>
      </c>
      <c r="P59" s="404"/>
    </row>
    <row r="60" spans="2:16">
      <c r="B60" s="161" t="s">
        <v>79</v>
      </c>
      <c r="C60" s="299" t="s">
        <v>218</v>
      </c>
      <c r="D60" s="299" t="s">
        <v>218</v>
      </c>
      <c r="E60" s="299" t="s">
        <v>218</v>
      </c>
      <c r="F60" s="300" t="s">
        <v>124</v>
      </c>
      <c r="G60" s="152"/>
      <c r="H60" s="295">
        <f t="shared" si="3"/>
        <v>1</v>
      </c>
      <c r="I60" s="295">
        <f t="shared" si="3"/>
        <v>1</v>
      </c>
      <c r="J60" s="295">
        <f t="shared" si="3"/>
        <v>1</v>
      </c>
      <c r="K60" s="295"/>
      <c r="L60" s="152"/>
      <c r="M60" s="404">
        <f>IF(AND(ISNUMBER('Capital Costs'!M36),ISNUMBER('Annual Updates Calcs'!H60)),ROUND('Annual Updates Calcs'!H60*'Capital Costs'!M36,-3), "n.a.")</f>
        <v>4103000</v>
      </c>
      <c r="N60" s="404">
        <f>IF(AND(ISNUMBER('Capital Costs'!N36),ISNUMBER('Annual Updates Calcs'!I60)),ROUND('Annual Updates Calcs'!I60*'Capital Costs'!N36,-3), "n.a.")</f>
        <v>4103000</v>
      </c>
      <c r="O60" s="404">
        <f>IF(AND(ISNUMBER('Capital Costs'!O36),ISNUMBER('Annual Updates Calcs'!J60)),ROUND('Annual Updates Calcs'!J60*'Capital Costs'!O36,-3), "n.a.")</f>
        <v>0</v>
      </c>
      <c r="P60" s="404"/>
    </row>
    <row r="61" spans="2:16">
      <c r="B61" s="167" t="s">
        <v>133</v>
      </c>
      <c r="C61" s="300" t="s">
        <v>124</v>
      </c>
      <c r="D61" s="300" t="s">
        <v>124</v>
      </c>
      <c r="E61" s="300" t="s">
        <v>124</v>
      </c>
      <c r="F61" s="300" t="s">
        <v>124</v>
      </c>
      <c r="G61" s="152"/>
      <c r="H61" s="295"/>
      <c r="I61" s="295"/>
      <c r="J61" s="295"/>
      <c r="K61" s="295"/>
      <c r="L61" s="152"/>
      <c r="M61" s="404" t="str">
        <f>IF(AND(ISNUMBER('Capital Costs'!M37),ISNUMBER('Annual Updates Calcs'!H61)),ROUND('Annual Updates Calcs'!H61*'Capital Costs'!M37,-3), "n.a.")</f>
        <v>n.a.</v>
      </c>
      <c r="N61" s="404" t="str">
        <f>IF(AND(ISNUMBER('Capital Costs'!N37),ISNUMBER('Annual Updates Calcs'!I61)),ROUND('Annual Updates Calcs'!I61*'Capital Costs'!N37,-3), "n.a.")</f>
        <v>n.a.</v>
      </c>
      <c r="O61" s="404" t="str">
        <f>IF(AND(ISNUMBER('Capital Costs'!O37),ISNUMBER('Annual Updates Calcs'!J61)),ROUND('Annual Updates Calcs'!J61*'Capital Costs'!O37,-3), "n.a.")</f>
        <v>n.a.</v>
      </c>
      <c r="P61" s="404"/>
    </row>
    <row r="62" spans="2:16">
      <c r="B62" s="167" t="s">
        <v>135</v>
      </c>
      <c r="C62" s="300" t="s">
        <v>124</v>
      </c>
      <c r="D62" s="300" t="s">
        <v>124</v>
      </c>
      <c r="E62" s="300" t="s">
        <v>124</v>
      </c>
      <c r="F62" s="300" t="s">
        <v>124</v>
      </c>
      <c r="G62" s="152"/>
      <c r="H62" s="295"/>
      <c r="I62" s="295"/>
      <c r="J62" s="295"/>
      <c r="K62" s="295"/>
      <c r="L62" s="152"/>
      <c r="M62" s="404" t="str">
        <f>IF(AND(ISNUMBER('Capital Costs'!M38),ISNUMBER('Annual Updates Calcs'!H62)),ROUND('Annual Updates Calcs'!H62*'Capital Costs'!M38,-3), "n.a.")</f>
        <v>n.a.</v>
      </c>
      <c r="N62" s="404" t="str">
        <f>IF(AND(ISNUMBER('Capital Costs'!N38),ISNUMBER('Annual Updates Calcs'!I62)),ROUND('Annual Updates Calcs'!I62*'Capital Costs'!N38,-3), "n.a.")</f>
        <v>n.a.</v>
      </c>
      <c r="O62" s="404" t="str">
        <f>IF(AND(ISNUMBER('Capital Costs'!O38),ISNUMBER('Annual Updates Calcs'!J62)),ROUND('Annual Updates Calcs'!J62*'Capital Costs'!O38,-3), "n.a.")</f>
        <v>n.a.</v>
      </c>
      <c r="P62" s="404"/>
    </row>
    <row r="63" spans="2:16">
      <c r="B63" s="167" t="s">
        <v>850</v>
      </c>
      <c r="C63" s="431" t="s">
        <v>134</v>
      </c>
      <c r="D63" s="431" t="s">
        <v>134</v>
      </c>
      <c r="E63" s="431" t="s">
        <v>134</v>
      </c>
      <c r="F63" s="300" t="s">
        <v>124</v>
      </c>
      <c r="G63" s="1151"/>
      <c r="H63" s="1152">
        <f t="shared" si="3"/>
        <v>1</v>
      </c>
      <c r="I63" s="1152">
        <f t="shared" si="3"/>
        <v>1</v>
      </c>
      <c r="J63" s="1152">
        <f t="shared" si="3"/>
        <v>1</v>
      </c>
      <c r="K63" s="1152"/>
      <c r="L63" s="1151"/>
      <c r="M63" s="404">
        <f>IF(AND(ISNUMBER('Capital Costs'!M39),ISNUMBER('Annual Updates Calcs'!H63)),ROUND('Annual Updates Calcs'!H63*'Capital Costs'!M39,-3), "n.a.")</f>
        <v>2684000</v>
      </c>
      <c r="N63" s="404">
        <f>IF(AND(ISNUMBER('Capital Costs'!N39),ISNUMBER('Annual Updates Calcs'!I63)),ROUND('Annual Updates Calcs'!I63*'Capital Costs'!N39,-3), "n.a.")</f>
        <v>7960000</v>
      </c>
      <c r="O63" s="404">
        <f>IF(AND(ISNUMBER('Capital Costs'!O39),ISNUMBER('Annual Updates Calcs'!J63)),ROUND('Annual Updates Calcs'!J63*'Capital Costs'!O39,-3), "n.a.")</f>
        <v>0</v>
      </c>
      <c r="P63" s="1150"/>
    </row>
    <row r="64" spans="2:16">
      <c r="B64" s="161" t="s">
        <v>265</v>
      </c>
      <c r="C64" s="299"/>
      <c r="D64" s="299"/>
      <c r="E64" s="299"/>
      <c r="F64" s="299"/>
      <c r="G64" s="152"/>
      <c r="H64" s="295"/>
      <c r="I64" s="295"/>
      <c r="J64" s="295"/>
      <c r="K64" s="295"/>
      <c r="L64" s="152"/>
      <c r="M64" s="414">
        <f>ROUND('Annual Updates Calcs'!M$54*'Cost Assumptions'!D$22,-3)</f>
        <v>2636000</v>
      </c>
      <c r="N64" s="414">
        <f>ROUND('Annual Updates Calcs'!N$54*'Cost Assumptions'!E$22,-3)</f>
        <v>6993000</v>
      </c>
      <c r="O64" s="414">
        <f>ROUND('Annual Updates Calcs'!O$54*'Cost Assumptions'!F$22,-3)</f>
        <v>1441000</v>
      </c>
      <c r="P64" s="414"/>
    </row>
    <row r="65" spans="2:16">
      <c r="B65" s="161" t="s">
        <v>183</v>
      </c>
      <c r="C65" s="300"/>
      <c r="D65" s="300"/>
      <c r="E65" s="300"/>
      <c r="F65" s="300"/>
      <c r="G65" s="152"/>
      <c r="H65" s="295"/>
      <c r="I65" s="295"/>
      <c r="J65" s="295"/>
      <c r="K65" s="295"/>
      <c r="L65" s="152"/>
      <c r="M65" s="414">
        <f>ROUND(SUM(M$58:M$64)*'Cost Assumptions'!D$23,-3)</f>
        <v>2594000</v>
      </c>
      <c r="N65" s="414">
        <f>ROUND(SUM(N$58:N$64)*'Cost Assumptions'!E$23,-3)</f>
        <v>6900000</v>
      </c>
      <c r="O65" s="414">
        <f>ROUND(SUM(O$58:O$64)*'Cost Assumptions'!F$23,-3)</f>
        <v>2655000</v>
      </c>
      <c r="P65" s="414"/>
    </row>
    <row r="66" spans="2:16">
      <c r="B66" s="243" t="s">
        <v>184</v>
      </c>
      <c r="C66" s="300"/>
      <c r="D66" s="300"/>
      <c r="E66" s="300"/>
      <c r="F66" s="300"/>
      <c r="G66" s="152"/>
      <c r="H66" s="295"/>
      <c r="I66" s="295"/>
      <c r="J66" s="295"/>
      <c r="K66" s="295"/>
      <c r="L66" s="152"/>
      <c r="M66" s="414">
        <f>SUM(M58:M65)</f>
        <v>35025000</v>
      </c>
      <c r="N66" s="414">
        <f>SUM(N58:N65)</f>
        <v>93145000</v>
      </c>
      <c r="O66" s="414">
        <f>SUM(O58:O65)</f>
        <v>35840000</v>
      </c>
      <c r="P66" s="414"/>
    </row>
    <row r="67" spans="2:16">
      <c r="B67" s="161" t="s">
        <v>86</v>
      </c>
      <c r="C67" s="300"/>
      <c r="D67" s="300"/>
      <c r="E67" s="300"/>
      <c r="F67" s="300"/>
      <c r="G67" s="152"/>
      <c r="H67" s="295"/>
      <c r="I67" s="295"/>
      <c r="J67" s="295"/>
      <c r="K67" s="295"/>
      <c r="L67" s="152"/>
      <c r="M67" s="414">
        <f>ROUND(SUM(M$54,M$66)*'CONE Calcs'!$D$48*'Cost Assumptions'!D$24,-3)</f>
        <v>5972000</v>
      </c>
      <c r="N67" s="414">
        <f>ROUND(SUM(N$54,N$66)*'CONE Calcs'!$D$48*'Cost Assumptions'!E$24,-3)</f>
        <v>15850000</v>
      </c>
      <c r="O67" s="414">
        <f>ROUND(SUM(O$54,O$66)*'CONE Calcs'!$D$48*'Cost Assumptions'!F$24,-3)</f>
        <v>3600000</v>
      </c>
      <c r="P67" s="414"/>
    </row>
    <row r="68" spans="2:16">
      <c r="B68" s="226" t="s">
        <v>136</v>
      </c>
      <c r="C68" s="152"/>
      <c r="D68" s="152"/>
      <c r="E68" s="152"/>
      <c r="F68" s="152"/>
      <c r="G68" s="152"/>
      <c r="H68" s="173"/>
      <c r="L68" s="152"/>
      <c r="M68" s="429">
        <f>M67+M66</f>
        <v>40997000</v>
      </c>
      <c r="N68" s="429">
        <f>N67+N66</f>
        <v>108995000</v>
      </c>
      <c r="O68" s="429">
        <f>O67+O66</f>
        <v>39440000</v>
      </c>
      <c r="P68" s="429"/>
    </row>
    <row r="69" spans="2:16" ht="6" customHeight="1">
      <c r="B69" s="162"/>
      <c r="C69" s="302"/>
      <c r="D69" s="302"/>
      <c r="E69" s="302"/>
      <c r="F69" s="302"/>
      <c r="G69" s="163"/>
      <c r="H69" s="184"/>
      <c r="I69" s="242"/>
      <c r="J69" s="242"/>
      <c r="K69" s="242"/>
      <c r="L69" s="163"/>
      <c r="M69" s="406"/>
      <c r="N69" s="407"/>
      <c r="O69" s="407"/>
      <c r="P69" s="407"/>
    </row>
    <row r="70" spans="2:16" ht="6" customHeight="1">
      <c r="B70" s="147"/>
      <c r="C70" s="299"/>
      <c r="D70" s="299"/>
      <c r="E70" s="299"/>
      <c r="F70" s="299"/>
      <c r="G70" s="152"/>
      <c r="H70" s="173"/>
      <c r="L70" s="152"/>
      <c r="M70" s="408"/>
      <c r="N70" s="409"/>
      <c r="O70" s="409"/>
      <c r="P70" s="409"/>
    </row>
    <row r="71" spans="2:16">
      <c r="B71" s="153" t="s">
        <v>304</v>
      </c>
      <c r="C71" s="152"/>
      <c r="D71" s="152"/>
      <c r="E71" s="152"/>
      <c r="F71" s="152"/>
      <c r="G71" s="152"/>
      <c r="H71" s="173"/>
      <c r="L71" s="152"/>
      <c r="M71" s="405">
        <f>M$54+M$68</f>
        <v>304547000</v>
      </c>
      <c r="N71" s="405">
        <f>N$54+N$68</f>
        <v>808344000</v>
      </c>
      <c r="O71" s="405">
        <f>O$54+O$68</f>
        <v>183575000</v>
      </c>
      <c r="P71" s="1174">
        <f>'Capital Costs'!$P$47</f>
        <v>15558000</v>
      </c>
    </row>
    <row r="72" spans="2:16">
      <c r="B72" s="153" t="s">
        <v>282</v>
      </c>
      <c r="C72" s="152"/>
      <c r="D72" s="152"/>
      <c r="E72" s="152"/>
      <c r="F72" s="152"/>
      <c r="G72" s="152"/>
      <c r="H72" s="173"/>
      <c r="L72" s="152"/>
      <c r="M72" s="405">
        <f>M71/('Cost Assumptions'!D12*10^3)</f>
        <v>1583.3619282320035</v>
      </c>
      <c r="N72" s="405">
        <f>N71/('Cost Assumptions'!E12*10^3)</f>
        <v>1107.9276315789473</v>
      </c>
      <c r="O72" s="405">
        <f>O71/('Cost Assumptions'!F12*10^3)</f>
        <v>3062.6459793126455</v>
      </c>
      <c r="P72" s="405">
        <f>P71/('Cost Assumptions'!G12*10^3)</f>
        <v>2593</v>
      </c>
    </row>
    <row r="73" spans="2:16" ht="6" customHeight="1" thickBot="1">
      <c r="B73" s="169"/>
      <c r="C73" s="171"/>
      <c r="D73" s="171"/>
      <c r="E73" s="171"/>
      <c r="F73" s="171"/>
      <c r="G73" s="171"/>
      <c r="H73" s="185"/>
      <c r="I73" s="181"/>
      <c r="J73" s="181"/>
      <c r="K73" s="181"/>
      <c r="L73" s="171"/>
      <c r="M73" s="185"/>
      <c r="N73" s="181"/>
      <c r="O73" s="181"/>
      <c r="P73" s="181"/>
    </row>
    <row r="74" spans="2:16" ht="6" customHeight="1" thickTop="1">
      <c r="B74" s="153" t="s">
        <v>137</v>
      </c>
      <c r="C74" s="152"/>
      <c r="D74" s="152"/>
      <c r="E74" s="152"/>
      <c r="F74" s="152"/>
      <c r="G74" s="152"/>
      <c r="H74" s="173"/>
      <c r="L74" s="152"/>
      <c r="M74" s="173"/>
    </row>
    <row r="75" spans="2:16" ht="12" customHeight="1">
      <c r="B75" s="153" t="s">
        <v>911</v>
      </c>
      <c r="C75" s="152"/>
      <c r="D75" s="152"/>
      <c r="E75" s="152"/>
      <c r="F75" s="152"/>
      <c r="G75" s="152"/>
      <c r="H75" s="173"/>
      <c r="L75" s="152"/>
      <c r="M75" s="173"/>
    </row>
    <row r="76" spans="2:16" ht="12" customHeight="1">
      <c r="B76" s="200" t="s">
        <v>166</v>
      </c>
      <c r="C76" s="299" t="s">
        <v>881</v>
      </c>
      <c r="D76" s="299" t="s">
        <v>881</v>
      </c>
      <c r="E76" s="299" t="s">
        <v>882</v>
      </c>
      <c r="F76" s="299"/>
      <c r="G76" s="152"/>
      <c r="H76" s="295">
        <f t="shared" ref="H76" si="4">IF(C76="-","n.a.",INDEX($E$18:$E$28,MATCH(C76,$B$18:$B$28,0),1))</f>
        <v>1</v>
      </c>
      <c r="I76" s="295">
        <f t="shared" ref="I76" si="5">IF(D76="-","n.a.",INDEX($E$18:$E$28,MATCH(D76,$B$18:$B$28,0),1))</f>
        <v>1</v>
      </c>
      <c r="J76" s="295">
        <f t="shared" ref="J76" si="6">IF(E76="-","n.a.",INDEX($E$18:$E$28,MATCH(E76,$B$18:$B$28,0),1))</f>
        <v>1</v>
      </c>
      <c r="K76" s="295"/>
      <c r="L76" s="152"/>
      <c r="M76" s="404">
        <f>IF(AND(ISNUMBER('O&amp;M Costs'!M14),ISNUMBER('Annual Updates Calcs'!H76)),ROUND('Annual Updates Calcs'!H76*'O&amp;M Costs'!M14,-3), "n.a.")</f>
        <v>1060000</v>
      </c>
      <c r="N76" s="404">
        <f>IF(AND(ISNUMBER('O&amp;M Costs'!N14),ISNUMBER('Annual Updates Calcs'!I76)),ROUND('Annual Updates Calcs'!I76*'O&amp;M Costs'!N14,-3), "n.a.")</f>
        <v>3532000</v>
      </c>
      <c r="O76" s="404">
        <f>IF(AND(ISNUMBER('O&amp;M Costs'!O14),ISNUMBER('Annual Updates Calcs'!J76)),ROUND('Annual Updates Calcs'!J76*'O&amp;M Costs'!O14,-3), "n.a.")</f>
        <v>720000</v>
      </c>
      <c r="P76" s="404"/>
    </row>
    <row r="77" spans="2:16" ht="12" customHeight="1">
      <c r="B77" s="200" t="s">
        <v>167</v>
      </c>
      <c r="C77" s="299" t="s">
        <v>128</v>
      </c>
      <c r="D77" s="299" t="s">
        <v>128</v>
      </c>
      <c r="E77" s="299" t="s">
        <v>128</v>
      </c>
      <c r="F77" s="299"/>
      <c r="G77" s="152"/>
      <c r="H77" s="295">
        <f t="shared" ref="H77:H78" si="7">IF(C77="-","n.a.",INDEX($E$18:$E$28,MATCH(C77,$B$18:$B$28,0),1))</f>
        <v>1</v>
      </c>
      <c r="I77" s="295">
        <f t="shared" ref="I77:I78" si="8">IF(D77="-","n.a.",INDEX($E$18:$E$28,MATCH(D77,$B$18:$B$28,0),1))</f>
        <v>1</v>
      </c>
      <c r="J77" s="295">
        <f t="shared" ref="J77:J78" si="9">IF(E77="-","n.a.",INDEX($E$18:$E$28,MATCH(E77,$B$18:$B$28,0),1))</f>
        <v>1</v>
      </c>
      <c r="K77" s="295"/>
      <c r="L77" s="152"/>
      <c r="M77" s="404">
        <f>IF(AND(ISNUMBER('O&amp;M Costs'!M15),ISNUMBER('Annual Updates Calcs'!H77)),ROUND('Annual Updates Calcs'!H77*'O&amp;M Costs'!M15,-3), "n.a.")</f>
        <v>351000</v>
      </c>
      <c r="N77" s="404">
        <f>IF(AND(ISNUMBER('O&amp;M Costs'!N15),ISNUMBER('Annual Updates Calcs'!I77)),ROUND('Annual Updates Calcs'!I77*'O&amp;M Costs'!N15,-3), "n.a.")</f>
        <v>4579000</v>
      </c>
      <c r="O77" s="404">
        <f>IF(AND(ISNUMBER('O&amp;M Costs'!O15),ISNUMBER('Annual Updates Calcs'!J77)),ROUND('Annual Updates Calcs'!J77*'O&amp;M Costs'!O15,-3), "n.a.")</f>
        <v>683000</v>
      </c>
      <c r="P77" s="404"/>
    </row>
    <row r="78" spans="2:16" ht="12" customHeight="1">
      <c r="B78" s="200" t="s">
        <v>168</v>
      </c>
      <c r="C78" s="299" t="s">
        <v>881</v>
      </c>
      <c r="D78" s="299" t="s">
        <v>881</v>
      </c>
      <c r="E78" s="299" t="s">
        <v>882</v>
      </c>
      <c r="F78" s="299"/>
      <c r="G78" s="152"/>
      <c r="H78" s="295">
        <f t="shared" si="7"/>
        <v>1</v>
      </c>
      <c r="I78" s="295">
        <f t="shared" si="8"/>
        <v>1</v>
      </c>
      <c r="J78" s="295">
        <f t="shared" si="9"/>
        <v>1</v>
      </c>
      <c r="K78" s="295"/>
      <c r="L78" s="152"/>
      <c r="M78" s="404">
        <f>IF(AND(ISNUMBER('O&amp;M Costs'!M16),ISNUMBER('Annual Updates Calcs'!H78)),ROUND('Annual Updates Calcs'!H78*'O&amp;M Costs'!M16,-3), "n.a.")</f>
        <v>382000</v>
      </c>
      <c r="N78" s="404">
        <f>IF(AND(ISNUMBER('O&amp;M Costs'!N16),ISNUMBER('Annual Updates Calcs'!I78)),ROUND('Annual Updates Calcs'!I78*'O&amp;M Costs'!N16,-3), "n.a.")</f>
        <v>904000</v>
      </c>
      <c r="O78" s="404">
        <f>IF(AND(ISNUMBER('O&amp;M Costs'!O16),ISNUMBER('Annual Updates Calcs'!J78)),ROUND('Annual Updates Calcs'!J78*'O&amp;M Costs'!O16,-3), "n.a.")</f>
        <v>1025000</v>
      </c>
      <c r="P78" s="404"/>
    </row>
    <row r="79" spans="2:16" ht="12" customHeight="1">
      <c r="B79" s="200" t="s">
        <v>169</v>
      </c>
      <c r="C79" s="431" t="s">
        <v>134</v>
      </c>
      <c r="D79" s="431" t="s">
        <v>134</v>
      </c>
      <c r="E79" s="431" t="s">
        <v>134</v>
      </c>
      <c r="F79" s="431"/>
      <c r="G79" s="152"/>
      <c r="H79" s="295">
        <f t="shared" ref="H79" si="10">IF(C79="-","n.a.",INDEX($E$18:$E$28,MATCH(C79,$B$18:$B$28,0),1))</f>
        <v>1</v>
      </c>
      <c r="I79" s="295">
        <f t="shared" ref="I79" si="11">IF(D79="-","n.a.",INDEX($E$18:$E$28,MATCH(D79,$B$18:$B$28,0),1))</f>
        <v>1</v>
      </c>
      <c r="J79" s="295">
        <f t="shared" ref="J79" si="12">IF(E79="-","n.a.",INDEX($E$18:$E$28,MATCH(E79,$B$18:$B$28,0),1))</f>
        <v>1</v>
      </c>
      <c r="K79" s="295"/>
      <c r="L79" s="152"/>
      <c r="M79" s="404">
        <f>IF(AND(ISNUMBER('O&amp;M Costs'!M17),ISNUMBER('Annual Updates Calcs'!H79)),ROUND('Annual Updates Calcs'!H79*'O&amp;M Costs'!M17,-3), "n.a.")</f>
        <v>212000</v>
      </c>
      <c r="N79" s="404">
        <f>IF(AND(ISNUMBER('O&amp;M Costs'!N17),ISNUMBER('Annual Updates Calcs'!I79)),ROUND('Annual Updates Calcs'!I79*'O&amp;M Costs'!N17,-3), "n.a.")</f>
        <v>425000</v>
      </c>
      <c r="O79" s="404">
        <f>IF(AND(ISNUMBER('O&amp;M Costs'!O17),ISNUMBER('Annual Updates Calcs'!J79)),ROUND('Annual Updates Calcs'!J79*'O&amp;M Costs'!O17,-3), "n.a.")</f>
        <v>858000</v>
      </c>
      <c r="P79" s="404"/>
    </row>
    <row r="80" spans="2:16" ht="12" customHeight="1">
      <c r="B80" s="200" t="s">
        <v>170</v>
      </c>
      <c r="C80" s="152"/>
      <c r="D80" s="152"/>
      <c r="E80" s="152"/>
      <c r="F80" s="152"/>
      <c r="G80" s="152"/>
      <c r="H80" s="173"/>
      <c r="L80" s="152"/>
      <c r="M80" s="414">
        <f>ROUND('Cost Assumptions'!D$52*M$71+'Cost Assumptions'!D$51*M$79,-3)</f>
        <v>2286000</v>
      </c>
      <c r="N80" s="414">
        <f>ROUND('Cost Assumptions'!E$52*N$71+'Cost Assumptions'!E$51*N$79,-3)</f>
        <v>6066000</v>
      </c>
      <c r="O80" s="414">
        <f>ROUND('Cost Assumptions'!F$52*O$71+'Cost Assumptions'!F$51*O$79,-3)</f>
        <v>922000</v>
      </c>
      <c r="P80" s="414"/>
    </row>
    <row r="81" spans="2:16" ht="12" customHeight="1">
      <c r="B81" s="200" t="s">
        <v>171</v>
      </c>
      <c r="C81" s="152"/>
      <c r="D81" s="152"/>
      <c r="E81" s="152"/>
      <c r="F81" s="152"/>
      <c r="G81" s="152"/>
      <c r="H81" s="173"/>
      <c r="L81" s="152"/>
      <c r="M81" s="414">
        <f>ROUND('Cost Assumptions'!D$53*M$71,-3)</f>
        <v>1827000</v>
      </c>
      <c r="N81" s="414">
        <f>ROUND('Cost Assumptions'!E$53*N$71,-3)</f>
        <v>4850000</v>
      </c>
      <c r="O81" s="414">
        <f>ROUND('Cost Assumptions'!F$53*O$71,-3)</f>
        <v>551000</v>
      </c>
      <c r="P81" s="414"/>
    </row>
    <row r="82" spans="2:16" ht="6" customHeight="1">
      <c r="B82" s="239"/>
      <c r="C82" s="163"/>
      <c r="D82" s="163"/>
      <c r="E82" s="163"/>
      <c r="F82" s="163"/>
      <c r="G82" s="163"/>
      <c r="H82" s="184"/>
      <c r="I82" s="242"/>
      <c r="J82" s="242"/>
      <c r="K82" s="242"/>
      <c r="L82" s="163"/>
      <c r="M82" s="1211"/>
      <c r="N82" s="1211"/>
      <c r="O82" s="1211"/>
      <c r="P82" s="1211"/>
    </row>
    <row r="83" spans="2:16" ht="6" customHeight="1">
      <c r="B83" s="200"/>
      <c r="C83" s="152"/>
      <c r="D83" s="152"/>
      <c r="E83" s="152"/>
      <c r="F83" s="152"/>
      <c r="G83" s="152"/>
      <c r="H83" s="173"/>
      <c r="L83" s="152"/>
      <c r="M83" s="404"/>
      <c r="N83" s="404"/>
      <c r="O83" s="404"/>
      <c r="P83" s="404"/>
    </row>
    <row r="84" spans="2:16" ht="12" customHeight="1">
      <c r="B84" s="256" t="s">
        <v>185</v>
      </c>
      <c r="C84" s="152"/>
      <c r="D84" s="152"/>
      <c r="E84" s="152"/>
      <c r="F84" s="152"/>
      <c r="G84" s="152"/>
      <c r="H84" s="173"/>
      <c r="L84" s="152"/>
      <c r="M84" s="1209">
        <f>SUM(M76:M81)</f>
        <v>6118000</v>
      </c>
      <c r="N84" s="1209">
        <f t="shared" ref="N84:O84" si="13">SUM(N76:N81)</f>
        <v>20356000</v>
      </c>
      <c r="O84" s="1209">
        <f t="shared" si="13"/>
        <v>4759000</v>
      </c>
      <c r="P84" s="1209">
        <f>'O&amp;M Costs'!P20</f>
        <v>322000</v>
      </c>
    </row>
    <row r="85" spans="2:16" ht="12" customHeight="1">
      <c r="B85" s="256" t="s">
        <v>186</v>
      </c>
      <c r="C85" s="152"/>
      <c r="D85" s="152"/>
      <c r="E85" s="152"/>
      <c r="F85" s="152"/>
      <c r="G85" s="152"/>
      <c r="H85" s="173"/>
      <c r="L85" s="152"/>
      <c r="M85" s="1210">
        <f>M$84/('Cost Assumptions'!D$12*1000)</f>
        <v>31.807925466096847</v>
      </c>
      <c r="N85" s="1210">
        <f>N$84/('Cost Assumptions'!E$12*1000)</f>
        <v>27.900219298245613</v>
      </c>
      <c r="O85" s="1210">
        <f>O$84/('Cost Assumptions'!F$12*1000)</f>
        <v>79.39606272939605</v>
      </c>
      <c r="P85" s="1210">
        <f>P$84/('Cost Assumptions'!G$12*1000)</f>
        <v>53.666666666666664</v>
      </c>
    </row>
    <row r="86" spans="2:16" ht="6" customHeight="1" thickBot="1">
      <c r="B86" s="169"/>
      <c r="C86" s="171"/>
      <c r="D86" s="171"/>
      <c r="E86" s="171"/>
      <c r="F86" s="171"/>
      <c r="G86" s="171"/>
      <c r="H86" s="185"/>
      <c r="I86" s="181"/>
      <c r="J86" s="181"/>
      <c r="K86" s="181"/>
      <c r="L86" s="171"/>
      <c r="M86" s="185"/>
      <c r="N86" s="181"/>
      <c r="O86" s="181"/>
      <c r="P86" s="181"/>
    </row>
    <row r="87" spans="2:16" ht="6" customHeight="1" thickTop="1">
      <c r="B87" s="153"/>
      <c r="C87" s="152"/>
      <c r="D87" s="152"/>
      <c r="E87" s="152"/>
      <c r="F87" s="152"/>
      <c r="G87" s="152"/>
      <c r="H87" s="173"/>
      <c r="L87" s="152"/>
      <c r="M87" s="173"/>
    </row>
    <row r="88" spans="2:16" ht="12" customHeight="1">
      <c r="B88" s="153"/>
      <c r="C88" s="152"/>
      <c r="D88" s="152"/>
      <c r="E88" s="152"/>
      <c r="F88" s="152"/>
      <c r="G88" s="152"/>
      <c r="H88" s="173"/>
      <c r="L88" s="152"/>
      <c r="M88" s="173"/>
    </row>
    <row r="89" spans="2:16">
      <c r="B89" s="144"/>
      <c r="C89" s="145"/>
      <c r="D89" s="145"/>
      <c r="E89" s="145"/>
      <c r="F89" s="145"/>
      <c r="G89" s="145"/>
      <c r="H89" s="146"/>
      <c r="I89" s="146"/>
      <c r="J89" s="146"/>
      <c r="K89" s="146"/>
      <c r="L89" s="146"/>
      <c r="M89" s="186"/>
    </row>
    <row r="90" spans="2:16">
      <c r="B90" s="145"/>
      <c r="C90" s="145"/>
      <c r="D90" s="145"/>
      <c r="E90" s="145"/>
      <c r="F90" s="145"/>
      <c r="G90" s="145"/>
      <c r="H90" s="145"/>
      <c r="I90" s="145"/>
      <c r="J90" s="145"/>
      <c r="K90" s="145"/>
      <c r="L90" s="145"/>
      <c r="M90" s="186"/>
    </row>
    <row r="91" spans="2:16">
      <c r="B91" s="145"/>
      <c r="C91" s="145"/>
      <c r="D91" s="145"/>
      <c r="E91" s="145"/>
      <c r="F91" s="145"/>
      <c r="G91" s="145"/>
      <c r="H91" s="146"/>
      <c r="I91" s="146"/>
      <c r="J91" s="146"/>
      <c r="K91" s="146"/>
      <c r="L91" s="146"/>
      <c r="M91" s="186"/>
    </row>
    <row r="92" spans="2:16">
      <c r="B92" s="145"/>
      <c r="C92" s="145"/>
      <c r="D92" s="145"/>
      <c r="E92" s="145"/>
      <c r="F92" s="145"/>
      <c r="G92" s="145"/>
      <c r="H92" s="145"/>
      <c r="I92" s="145"/>
      <c r="J92" s="145"/>
      <c r="K92" s="145"/>
      <c r="L92" s="145"/>
      <c r="M92" s="186"/>
    </row>
    <row r="95" spans="2:16">
      <c r="B95" s="145"/>
      <c r="C95" s="145"/>
      <c r="D95" s="145"/>
      <c r="E95" s="145"/>
      <c r="F95" s="145"/>
      <c r="G95" s="145"/>
      <c r="H95" s="145"/>
      <c r="I95" s="145"/>
      <c r="J95" s="145"/>
      <c r="K95" s="145"/>
      <c r="L95" s="145"/>
      <c r="M95" s="186"/>
    </row>
    <row r="97" spans="2:13" ht="12" customHeight="1"/>
    <row r="98" spans="2:13">
      <c r="B98" s="145"/>
      <c r="C98" s="145"/>
      <c r="D98" s="145"/>
      <c r="E98" s="145"/>
      <c r="F98" s="145"/>
      <c r="G98" s="145"/>
      <c r="H98" s="145"/>
      <c r="I98" s="145"/>
      <c r="J98" s="145"/>
      <c r="K98" s="145"/>
      <c r="L98" s="145"/>
      <c r="M98" s="186"/>
    </row>
    <row r="102" spans="2:13">
      <c r="B102" s="173"/>
    </row>
    <row r="103" spans="2:13">
      <c r="B103" s="173"/>
    </row>
  </sheetData>
  <mergeCells count="1">
    <mergeCell ref="B34:B35"/>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5"/>
  </sheetPr>
  <dimension ref="A1"/>
  <sheetViews>
    <sheetView workbookViewId="0">
      <selection activeCell="N47" sqref="N47"/>
    </sheetView>
  </sheetViews>
  <sheetFormatPr defaultRowHeight="12.75"/>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5"/>
  </sheetPr>
  <dimension ref="A1:K38"/>
  <sheetViews>
    <sheetView topLeftCell="A2" zoomScaleNormal="100" workbookViewId="0">
      <selection activeCell="E20" sqref="E20"/>
    </sheetView>
  </sheetViews>
  <sheetFormatPr defaultRowHeight="12.75" outlineLevelRow="1"/>
  <cols>
    <col min="1" max="1" width="9.85546875" bestFit="1" customWidth="1"/>
    <col min="2" max="2" width="31.85546875" customWidth="1"/>
    <col min="3" max="6" width="20.7109375" customWidth="1"/>
  </cols>
  <sheetData>
    <row r="1" spans="1:7" s="268" customFormat="1" hidden="1" outlineLevel="1">
      <c r="C1" s="270" t="s">
        <v>66</v>
      </c>
      <c r="D1" s="270" t="s">
        <v>67</v>
      </c>
      <c r="E1" s="270" t="s">
        <v>101</v>
      </c>
      <c r="F1" s="270" t="s">
        <v>406</v>
      </c>
    </row>
    <row r="2" spans="1:7" collapsed="1">
      <c r="A2" s="126" t="s">
        <v>91</v>
      </c>
      <c r="B2" s="126" t="str">
        <f>'ORTP Summary'!C1</f>
        <v>ISO-NE ORTP 2013 Study</v>
      </c>
    </row>
    <row r="3" spans="1:7">
      <c r="A3" s="126" t="s">
        <v>92</v>
      </c>
      <c r="B3" s="140" t="s">
        <v>113</v>
      </c>
    </row>
    <row r="4" spans="1:7">
      <c r="A4" s="126" t="s">
        <v>114</v>
      </c>
      <c r="B4" s="95" t="s">
        <v>142</v>
      </c>
    </row>
    <row r="6" spans="1:7" ht="6" customHeight="1" thickBot="1">
      <c r="B6" s="157"/>
      <c r="C6" s="157"/>
      <c r="D6" s="157"/>
      <c r="E6" s="157"/>
      <c r="F6" s="157"/>
    </row>
    <row r="7" spans="1:7" ht="6" customHeight="1" thickTop="1">
      <c r="B7" s="89"/>
      <c r="C7" s="128"/>
      <c r="D7" s="89"/>
      <c r="E7" s="142"/>
      <c r="F7" s="142"/>
    </row>
    <row r="8" spans="1:7" ht="25.5">
      <c r="B8" s="448" t="s">
        <v>142</v>
      </c>
      <c r="C8" s="193" t="s">
        <v>163</v>
      </c>
      <c r="D8" s="193" t="s">
        <v>164</v>
      </c>
      <c r="E8" s="193" t="s">
        <v>165</v>
      </c>
      <c r="F8" s="193" t="s">
        <v>404</v>
      </c>
    </row>
    <row r="9" spans="1:7" ht="6" customHeight="1">
      <c r="B9" s="158"/>
      <c r="C9" s="159"/>
      <c r="D9" s="159"/>
      <c r="E9" s="159"/>
      <c r="F9" s="159"/>
    </row>
    <row r="10" spans="1:7" ht="6" customHeight="1">
      <c r="B10" s="149"/>
      <c r="C10" s="148"/>
      <c r="D10" s="148"/>
      <c r="E10" s="148"/>
      <c r="F10" s="1143"/>
    </row>
    <row r="11" spans="1:7" ht="38.25">
      <c r="B11" s="345" t="s">
        <v>863</v>
      </c>
      <c r="C11" s="172" t="s">
        <v>146</v>
      </c>
      <c r="D11" s="352" t="s">
        <v>227</v>
      </c>
      <c r="E11" s="174" t="s">
        <v>311</v>
      </c>
      <c r="F11" s="174" t="s">
        <v>864</v>
      </c>
    </row>
    <row r="12" spans="1:7">
      <c r="B12" s="345" t="s">
        <v>154</v>
      </c>
      <c r="C12" s="172" t="s">
        <v>153</v>
      </c>
      <c r="D12" s="172" t="s">
        <v>153</v>
      </c>
      <c r="E12" s="174" t="s">
        <v>101</v>
      </c>
      <c r="F12" s="174" t="s">
        <v>406</v>
      </c>
    </row>
    <row r="13" spans="1:7" ht="12.75" customHeight="1">
      <c r="B13" s="177" t="s">
        <v>240</v>
      </c>
      <c r="C13" s="172" t="s">
        <v>147</v>
      </c>
      <c r="D13" s="175" t="s">
        <v>228</v>
      </c>
      <c r="E13" s="344" t="s">
        <v>310</v>
      </c>
      <c r="F13" s="344" t="s">
        <v>866</v>
      </c>
      <c r="G13" s="344"/>
    </row>
    <row r="14" spans="1:7">
      <c r="B14" s="177" t="s">
        <v>151</v>
      </c>
      <c r="C14" s="607">
        <f>'Cost Assumptions'!D12</f>
        <v>192.34200000000001</v>
      </c>
      <c r="D14" s="607">
        <f>'Cost Assumptions'!E12</f>
        <v>729.6</v>
      </c>
      <c r="E14" s="607">
        <f>'Cost Assumptions'!F12</f>
        <v>59.940000000000005</v>
      </c>
      <c r="F14" s="607" t="str">
        <f>'Cost Assumptions'!G12&amp;" (DC)"</f>
        <v>6 (DC)</v>
      </c>
    </row>
    <row r="15" spans="1:7">
      <c r="B15" s="411" t="s">
        <v>323</v>
      </c>
      <c r="C15" s="176" t="s">
        <v>152</v>
      </c>
      <c r="D15" s="607">
        <f>'Cost Assumptions'!E13</f>
        <v>630.80999999999995</v>
      </c>
      <c r="E15" s="176" t="s">
        <v>152</v>
      </c>
      <c r="F15" s="176" t="s">
        <v>152</v>
      </c>
    </row>
    <row r="16" spans="1:7">
      <c r="B16" s="177" t="s">
        <v>138</v>
      </c>
      <c r="C16" s="177" t="s">
        <v>148</v>
      </c>
      <c r="D16" s="175" t="s">
        <v>148</v>
      </c>
      <c r="E16" s="176" t="s">
        <v>152</v>
      </c>
      <c r="F16" s="176" t="s">
        <v>152</v>
      </c>
    </row>
    <row r="17" spans="2:7" ht="25.5">
      <c r="B17" s="177" t="s">
        <v>139</v>
      </c>
      <c r="C17" s="175" t="s">
        <v>241</v>
      </c>
      <c r="D17" s="175" t="s">
        <v>241</v>
      </c>
      <c r="E17" s="176" t="s">
        <v>152</v>
      </c>
      <c r="F17" s="176" t="s">
        <v>152</v>
      </c>
    </row>
    <row r="18" spans="2:7">
      <c r="B18" s="175" t="s">
        <v>413</v>
      </c>
      <c r="C18" s="368">
        <v>9244</v>
      </c>
      <c r="D18" s="368">
        <v>7526</v>
      </c>
      <c r="E18" s="176" t="s">
        <v>152</v>
      </c>
      <c r="F18" s="176" t="s">
        <v>152</v>
      </c>
    </row>
    <row r="19" spans="2:7">
      <c r="B19" s="611" t="s">
        <v>414</v>
      </c>
      <c r="C19" s="368" t="s">
        <v>152</v>
      </c>
      <c r="D19" s="368">
        <v>7204</v>
      </c>
      <c r="E19" s="176" t="s">
        <v>152</v>
      </c>
      <c r="F19" s="176" t="s">
        <v>152</v>
      </c>
    </row>
    <row r="20" spans="2:7">
      <c r="B20" s="177" t="s">
        <v>225</v>
      </c>
      <c r="C20" s="356" t="s">
        <v>152</v>
      </c>
      <c r="D20" s="356" t="s">
        <v>152</v>
      </c>
      <c r="E20" s="356">
        <v>0.35</v>
      </c>
      <c r="F20" s="356">
        <v>0.14000000000000001</v>
      </c>
    </row>
    <row r="21" spans="2:7">
      <c r="B21" s="177" t="s">
        <v>316</v>
      </c>
      <c r="C21" s="356">
        <v>1</v>
      </c>
      <c r="D21" s="356">
        <v>1</v>
      </c>
      <c r="E21" s="356">
        <v>0.25</v>
      </c>
      <c r="F21" s="356">
        <v>0.15</v>
      </c>
    </row>
    <row r="22" spans="2:7" ht="63.75">
      <c r="B22" s="177" t="s">
        <v>140</v>
      </c>
      <c r="C22" s="175" t="s">
        <v>230</v>
      </c>
      <c r="D22" s="175" t="s">
        <v>231</v>
      </c>
      <c r="E22" s="176" t="s">
        <v>152</v>
      </c>
      <c r="F22" s="176" t="s">
        <v>152</v>
      </c>
    </row>
    <row r="23" spans="2:7">
      <c r="B23" s="177" t="s">
        <v>141</v>
      </c>
      <c r="C23" s="177" t="s">
        <v>226</v>
      </c>
      <c r="D23" s="177" t="s">
        <v>226</v>
      </c>
      <c r="E23" s="176" t="s">
        <v>152</v>
      </c>
      <c r="F23" s="176" t="s">
        <v>152</v>
      </c>
    </row>
    <row r="24" spans="2:7">
      <c r="B24" s="177" t="s">
        <v>143</v>
      </c>
      <c r="C24" s="177" t="s">
        <v>149</v>
      </c>
      <c r="D24" s="177" t="s">
        <v>149</v>
      </c>
      <c r="E24" s="176" t="s">
        <v>152</v>
      </c>
      <c r="F24" s="176" t="s">
        <v>152</v>
      </c>
    </row>
    <row r="25" spans="2:7">
      <c r="B25" s="177" t="s">
        <v>144</v>
      </c>
      <c r="C25" s="177" t="s">
        <v>150</v>
      </c>
      <c r="D25" s="177" t="s">
        <v>149</v>
      </c>
      <c r="E25" s="176" t="s">
        <v>152</v>
      </c>
      <c r="F25" s="176" t="s">
        <v>152</v>
      </c>
    </row>
    <row r="26" spans="2:7" s="353" customFormat="1">
      <c r="B26" s="249" t="s">
        <v>242</v>
      </c>
      <c r="C26" s="354" t="s">
        <v>439</v>
      </c>
      <c r="D26" s="355" t="s">
        <v>439</v>
      </c>
      <c r="E26" s="356" t="s">
        <v>244</v>
      </c>
      <c r="F26" s="356" t="s">
        <v>867</v>
      </c>
      <c r="G26" s="1167"/>
    </row>
    <row r="27" spans="2:7" s="353" customFormat="1">
      <c r="B27" s="249" t="s">
        <v>243</v>
      </c>
      <c r="C27" s="1158">
        <f>'Cost Assumptions'!D$49</f>
        <v>10</v>
      </c>
      <c r="D27" s="1158">
        <f>'Cost Assumptions'!E$49</f>
        <v>20</v>
      </c>
      <c r="E27" s="1158">
        <f>'Cost Assumptions'!F$49</f>
        <v>3840</v>
      </c>
      <c r="F27" s="1158">
        <f>'Cost Assumptions'!G$49</f>
        <v>40</v>
      </c>
      <c r="G27" s="1167"/>
    </row>
    <row r="28" spans="2:7">
      <c r="B28" s="177" t="s">
        <v>121</v>
      </c>
      <c r="C28" s="249" t="s">
        <v>100</v>
      </c>
      <c r="D28" s="249" t="s">
        <v>100</v>
      </c>
      <c r="E28" s="344" t="s">
        <v>229</v>
      </c>
      <c r="F28" s="344" t="s">
        <v>457</v>
      </c>
    </row>
    <row r="29" spans="2:7" ht="6" customHeight="1" thickBot="1">
      <c r="B29" s="169"/>
      <c r="C29" s="170"/>
      <c r="D29" s="170"/>
      <c r="E29" s="170"/>
      <c r="F29" s="170"/>
    </row>
    <row r="30" spans="2:7" ht="6" customHeight="1" thickTop="1">
      <c r="B30" s="153" t="s">
        <v>137</v>
      </c>
      <c r="C30" s="156"/>
      <c r="D30" s="156"/>
      <c r="E30" s="156"/>
      <c r="F30" s="156"/>
    </row>
    <row r="37" spans="10:11">
      <c r="J37" s="1204"/>
    </row>
    <row r="38" spans="10:11">
      <c r="J38" s="1204"/>
      <c r="K38" s="1205"/>
    </row>
  </sheetData>
  <pageMargins left="0.7" right="0.7" top="0.75" bottom="0.75" header="0.3" footer="0.3"/>
  <pageSetup orientation="portrait" blackAndWhite="1" r:id="rId1"/>
</worksheet>
</file>

<file path=xl/worksheets/sheet9.xml><?xml version="1.0" encoding="utf-8"?>
<worksheet xmlns="http://schemas.openxmlformats.org/spreadsheetml/2006/main" xmlns:r="http://schemas.openxmlformats.org/officeDocument/2006/relationships">
  <sheetPr>
    <tabColor theme="5"/>
  </sheetPr>
  <dimension ref="A1:R57"/>
  <sheetViews>
    <sheetView topLeftCell="A3" zoomScaleNormal="100" workbookViewId="0">
      <selection activeCell="B41" sqref="B41"/>
    </sheetView>
  </sheetViews>
  <sheetFormatPr defaultRowHeight="12.75" outlineLevelRow="1" outlineLevelCol="1"/>
  <cols>
    <col min="1" max="1" width="9.85546875" bestFit="1" customWidth="1"/>
    <col min="2" max="2" width="37.42578125" customWidth="1"/>
    <col min="3" max="3" width="1.7109375" customWidth="1"/>
    <col min="4" max="4" width="45.28515625" hidden="1" customWidth="1" outlineLevel="1"/>
    <col min="5" max="5" width="15.7109375" style="353" customWidth="1" collapsed="1"/>
    <col min="6" max="8" width="15.7109375" style="353" customWidth="1"/>
    <col min="9" max="9" width="1.7109375" customWidth="1"/>
    <col min="10" max="10" width="14.7109375" bestFit="1" customWidth="1"/>
    <col min="11" max="11" width="8.7109375" hidden="1" customWidth="1" outlineLevel="1"/>
    <col min="12" max="12" width="1.7109375" customWidth="1" collapsed="1"/>
    <col min="13" max="16" width="15.7109375" customWidth="1"/>
    <col min="17" max="17" width="1.7109375" customWidth="1"/>
    <col min="18" max="18" width="70" style="182" bestFit="1" customWidth="1"/>
  </cols>
  <sheetData>
    <row r="1" spans="1:18" s="268" customFormat="1" hidden="1" outlineLevel="1">
      <c r="F1" s="268">
        <v>2013</v>
      </c>
      <c r="N1" s="268">
        <v>2018</v>
      </c>
      <c r="R1" s="269"/>
    </row>
    <row r="2" spans="1:18" s="268" customFormat="1" hidden="1" outlineLevel="1">
      <c r="E2" s="270" t="s">
        <v>357</v>
      </c>
      <c r="F2" s="270" t="s">
        <v>358</v>
      </c>
      <c r="G2" s="270" t="s">
        <v>359</v>
      </c>
      <c r="H2" s="270" t="s">
        <v>856</v>
      </c>
      <c r="I2" s="270"/>
      <c r="J2" s="270"/>
      <c r="K2" s="270"/>
      <c r="M2" s="270" t="s">
        <v>360</v>
      </c>
      <c r="N2" s="270" t="s">
        <v>361</v>
      </c>
      <c r="O2" s="270" t="s">
        <v>362</v>
      </c>
      <c r="P2" s="270" t="s">
        <v>857</v>
      </c>
      <c r="Q2" s="270"/>
      <c r="R2" s="269"/>
    </row>
    <row r="3" spans="1:18" collapsed="1">
      <c r="A3" s="126" t="s">
        <v>91</v>
      </c>
      <c r="B3" s="126" t="str">
        <f>'ORTP Summary'!C1</f>
        <v>ISO-NE ORTP 2013 Study</v>
      </c>
      <c r="C3" s="126"/>
      <c r="D3" s="126"/>
    </row>
    <row r="4" spans="1:18">
      <c r="A4" s="126" t="s">
        <v>92</v>
      </c>
      <c r="B4" s="140" t="s">
        <v>113</v>
      </c>
      <c r="C4" s="140"/>
      <c r="D4" s="140"/>
    </row>
    <row r="5" spans="1:18">
      <c r="A5" s="126" t="s">
        <v>114</v>
      </c>
      <c r="B5" s="95" t="s">
        <v>160</v>
      </c>
      <c r="C5" s="95"/>
      <c r="D5" s="95"/>
    </row>
    <row r="7" spans="1:18" ht="6" customHeight="1" thickBot="1">
      <c r="B7" s="157"/>
      <c r="C7" s="157"/>
      <c r="D7" s="157"/>
      <c r="E7" s="554"/>
      <c r="F7" s="554"/>
      <c r="G7" s="554"/>
      <c r="H7" s="554"/>
      <c r="I7" s="157"/>
      <c r="J7" s="157"/>
      <c r="K7" s="157"/>
      <c r="L7" s="157"/>
      <c r="M7" s="157"/>
      <c r="N7" s="157"/>
      <c r="O7" s="157"/>
      <c r="P7" s="157"/>
      <c r="Q7" s="157"/>
      <c r="R7" s="183"/>
    </row>
    <row r="8" spans="1:18" ht="6" customHeight="1" thickTop="1">
      <c r="B8" s="89"/>
      <c r="C8" s="89"/>
      <c r="D8" s="89"/>
      <c r="E8" s="555"/>
      <c r="F8" s="556"/>
      <c r="G8" s="557"/>
      <c r="H8" s="557"/>
      <c r="I8" s="142"/>
      <c r="J8" s="142"/>
      <c r="K8" s="142"/>
      <c r="M8" s="128"/>
      <c r="N8" s="89"/>
      <c r="O8" s="142"/>
      <c r="P8" s="142"/>
      <c r="Q8" s="142"/>
    </row>
    <row r="9" spans="1:18" ht="38.25">
      <c r="A9" s="126"/>
      <c r="B9" s="318" t="s">
        <v>162</v>
      </c>
      <c r="C9" s="147"/>
      <c r="D9" s="147"/>
      <c r="E9" s="495" t="str">
        <f>"Reference Year Overnight Costs ("&amp;$F$1&amp;"$)"</f>
        <v>Reference Year Overnight Costs (2013$)</v>
      </c>
      <c r="F9" s="495" t="str">
        <f>"Reference Year Overnight Costs ("&amp;$F$1&amp;"$)"</f>
        <v>Reference Year Overnight Costs (2013$)</v>
      </c>
      <c r="G9" s="495" t="str">
        <f>"Reference Year Overnight Costs ("&amp;$F$1&amp;"$)"</f>
        <v>Reference Year Overnight Costs (2013$)</v>
      </c>
      <c r="H9" s="1159" t="str">
        <f>"Reference Year Overnight Costs ("&amp;$F$1&amp;"$)"</f>
        <v>Reference Year Overnight Costs (2013$)</v>
      </c>
      <c r="I9" s="450"/>
      <c r="J9" s="450"/>
      <c r="K9" s="450"/>
      <c r="L9" s="166"/>
      <c r="M9" s="446" t="str">
        <f>"Reference Year Overnight Costs ("&amp;$N$1&amp;"$)"</f>
        <v>Reference Year Overnight Costs (2018$)</v>
      </c>
      <c r="N9" s="446" t="str">
        <f>"Reference Year Overnight Costs ("&amp;$N$1&amp;"$)"</f>
        <v>Reference Year Overnight Costs (2018$)</v>
      </c>
      <c r="O9" s="544" t="str">
        <f>"Reference Year Overnight Costs ("&amp;$N$1&amp;"$)"</f>
        <v>Reference Year Overnight Costs (2018$)</v>
      </c>
      <c r="P9" s="1159" t="str">
        <f>"Reference Year Overnight Costs ("&amp;$N$1&amp;"$)"</f>
        <v>Reference Year Overnight Costs (2018$)</v>
      </c>
      <c r="Q9" s="417"/>
      <c r="R9" s="173"/>
    </row>
    <row r="10" spans="1:18" ht="30" customHeight="1">
      <c r="B10" s="318" t="s">
        <v>80</v>
      </c>
      <c r="C10" s="318"/>
      <c r="D10" s="318" t="s">
        <v>845</v>
      </c>
      <c r="E10" s="193" t="str">
        <f>'Unit Specifications'!C$8</f>
        <v>Combustion Turbine</v>
      </c>
      <c r="F10" s="193" t="str">
        <f>'Unit Specifications'!D$8</f>
        <v>Combined Cycle Gas Turbine</v>
      </c>
      <c r="G10" s="193" t="str">
        <f>'Unit Specifications'!E$8</f>
        <v>On-Shore Wind</v>
      </c>
      <c r="H10" s="193" t="str">
        <f>'Unit Specifications'!F$8</f>
        <v>Solar PV</v>
      </c>
      <c r="I10" s="193"/>
      <c r="J10" s="193" t="s">
        <v>309</v>
      </c>
      <c r="K10" s="193" t="s">
        <v>312</v>
      </c>
      <c r="L10" s="143"/>
      <c r="M10" s="193" t="str">
        <f>E10</f>
        <v>Combustion Turbine</v>
      </c>
      <c r="N10" s="193" t="str">
        <f>F10</f>
        <v>Combined Cycle Gas Turbine</v>
      </c>
      <c r="O10" s="193" t="str">
        <f>G10</f>
        <v>On-Shore Wind</v>
      </c>
      <c r="P10" s="193" t="str">
        <f>H10</f>
        <v>Solar PV</v>
      </c>
      <c r="Q10" s="193"/>
      <c r="R10" s="191" t="s">
        <v>123</v>
      </c>
    </row>
    <row r="11" spans="1:18">
      <c r="B11" s="318" t="s">
        <v>58</v>
      </c>
      <c r="C11" s="149"/>
      <c r="D11" s="149"/>
      <c r="E11" s="1165">
        <f>'Cost Assumptions'!D$12</f>
        <v>192.34200000000001</v>
      </c>
      <c r="F11" s="1165">
        <f>'Cost Assumptions'!E$12</f>
        <v>729.6</v>
      </c>
      <c r="G11" s="1165">
        <f>'Cost Assumptions'!F$12</f>
        <v>59.940000000000005</v>
      </c>
      <c r="H11" s="1165">
        <f>'Cost Assumptions'!G$12</f>
        <v>6</v>
      </c>
      <c r="I11" s="1166"/>
      <c r="J11" s="1166"/>
      <c r="K11" s="1166"/>
      <c r="L11" s="1166"/>
      <c r="M11" s="1165">
        <f>E$11</f>
        <v>192.34200000000001</v>
      </c>
      <c r="N11" s="1165">
        <f>F$11</f>
        <v>729.6</v>
      </c>
      <c r="O11" s="1165">
        <f>G$11</f>
        <v>59.940000000000005</v>
      </c>
      <c r="P11" s="1165">
        <f>H$11</f>
        <v>6</v>
      </c>
      <c r="Q11" s="1159"/>
      <c r="R11" s="150"/>
    </row>
    <row r="12" spans="1:18" ht="6" customHeight="1">
      <c r="B12" s="158"/>
      <c r="C12" s="158"/>
      <c r="D12" s="158"/>
      <c r="E12" s="159"/>
      <c r="F12" s="159"/>
      <c r="G12" s="159"/>
      <c r="H12" s="159"/>
      <c r="I12" s="159"/>
      <c r="J12" s="159"/>
      <c r="K12" s="159"/>
      <c r="L12" s="159"/>
      <c r="M12" s="159"/>
      <c r="N12" s="159"/>
      <c r="O12" s="159"/>
      <c r="P12" s="159"/>
      <c r="Q12" s="159"/>
      <c r="R12" s="160"/>
    </row>
    <row r="13" spans="1:18" ht="6" customHeight="1">
      <c r="B13" s="149"/>
      <c r="C13" s="149"/>
      <c r="D13" s="149"/>
      <c r="E13" s="495"/>
      <c r="F13" s="495"/>
      <c r="G13" s="495"/>
      <c r="H13" s="1143"/>
      <c r="I13" s="417"/>
      <c r="J13" s="417"/>
      <c r="K13" s="417"/>
      <c r="L13" s="143"/>
      <c r="M13" s="417"/>
      <c r="N13" s="417"/>
      <c r="O13" s="417"/>
      <c r="P13" s="1143"/>
      <c r="Q13" s="417"/>
      <c r="R13" s="150"/>
    </row>
    <row r="14" spans="1:18">
      <c r="B14" s="153" t="s">
        <v>83</v>
      </c>
      <c r="C14" s="153"/>
      <c r="D14" s="153"/>
      <c r="E14" s="558"/>
      <c r="F14" s="559"/>
      <c r="G14" s="559"/>
      <c r="H14" s="559"/>
      <c r="I14" s="151"/>
      <c r="J14" s="151"/>
      <c r="K14" s="151"/>
      <c r="L14" s="152"/>
      <c r="M14" s="147"/>
      <c r="N14" s="151"/>
      <c r="O14" s="151"/>
      <c r="P14" s="151"/>
      <c r="Q14" s="151"/>
      <c r="R14" s="173"/>
    </row>
    <row r="15" spans="1:18">
      <c r="B15" s="167" t="s">
        <v>103</v>
      </c>
      <c r="C15" s="167"/>
      <c r="D15" s="167" t="s">
        <v>840</v>
      </c>
      <c r="E15" s="154"/>
      <c r="F15" s="154"/>
      <c r="G15" s="154"/>
      <c r="H15" s="154"/>
      <c r="I15" s="154"/>
      <c r="J15" s="154"/>
      <c r="K15" s="154"/>
      <c r="L15" s="152"/>
      <c r="M15" s="154"/>
      <c r="N15" s="154"/>
      <c r="O15" s="154"/>
      <c r="P15" s="154"/>
      <c r="Q15" s="154"/>
      <c r="R15" s="173"/>
    </row>
    <row r="16" spans="1:18">
      <c r="B16" s="1125" t="s">
        <v>247</v>
      </c>
      <c r="C16" s="1125"/>
      <c r="D16" s="167" t="s">
        <v>840</v>
      </c>
      <c r="E16" s="154">
        <v>77500000</v>
      </c>
      <c r="F16" s="154">
        <v>90000000</v>
      </c>
      <c r="G16" s="323">
        <v>0</v>
      </c>
      <c r="H16" s="323">
        <v>0</v>
      </c>
      <c r="I16" s="323"/>
      <c r="J16" s="491">
        <f>'CONE Calcs'!Inflation+K16</f>
        <v>2.6499999999999999E-2</v>
      </c>
      <c r="K16" s="423">
        <v>4.0000000000000001E-3</v>
      </c>
      <c r="L16" s="155"/>
      <c r="M16" s="244">
        <f t="shared" ref="M16:O22" si="0">ROUND(E16*(1+$J16)^($N$1-$F$1),-3)</f>
        <v>88328000</v>
      </c>
      <c r="N16" s="244">
        <f t="shared" si="0"/>
        <v>102574000</v>
      </c>
      <c r="O16" s="244">
        <f t="shared" si="0"/>
        <v>0</v>
      </c>
      <c r="P16" s="244"/>
      <c r="Q16" s="244"/>
      <c r="R16" s="173"/>
    </row>
    <row r="17" spans="2:18">
      <c r="B17" s="1125" t="s">
        <v>415</v>
      </c>
      <c r="C17" s="1125"/>
      <c r="D17" s="167" t="s">
        <v>840</v>
      </c>
      <c r="E17" s="154">
        <f>ROUND(14000000,-3)</f>
        <v>14000000</v>
      </c>
      <c r="F17" s="154">
        <v>43000000</v>
      </c>
      <c r="G17" s="323">
        <v>0</v>
      </c>
      <c r="H17" s="323">
        <v>0</v>
      </c>
      <c r="I17" s="323"/>
      <c r="J17" s="491">
        <f>'CONE Calcs'!Inflation+K17</f>
        <v>2.6499999999999999E-2</v>
      </c>
      <c r="K17" s="423">
        <v>4.0000000000000001E-3</v>
      </c>
      <c r="L17" s="155"/>
      <c r="M17" s="244">
        <f t="shared" si="0"/>
        <v>15956000</v>
      </c>
      <c r="N17" s="244">
        <f t="shared" si="0"/>
        <v>49008000</v>
      </c>
      <c r="O17" s="244">
        <f t="shared" si="0"/>
        <v>0</v>
      </c>
      <c r="P17" s="244"/>
      <c r="Q17" s="244"/>
      <c r="R17" s="342"/>
    </row>
    <row r="18" spans="2:18">
      <c r="B18" s="1125" t="s">
        <v>305</v>
      </c>
      <c r="C18" s="1125"/>
      <c r="D18" s="167" t="s">
        <v>840</v>
      </c>
      <c r="E18" s="323">
        <v>0</v>
      </c>
      <c r="F18" s="154">
        <v>26900000</v>
      </c>
      <c r="G18" s="323">
        <v>0</v>
      </c>
      <c r="H18" s="323">
        <v>0</v>
      </c>
      <c r="I18" s="419"/>
      <c r="J18" s="491">
        <f>'CONE Calcs'!Inflation+K18</f>
        <v>2.6499999999999999E-2</v>
      </c>
      <c r="K18" s="423">
        <v>4.0000000000000001E-3</v>
      </c>
      <c r="L18" s="155"/>
      <c r="M18" s="244">
        <f t="shared" si="0"/>
        <v>0</v>
      </c>
      <c r="N18" s="244">
        <f t="shared" si="0"/>
        <v>30658000</v>
      </c>
      <c r="O18" s="244">
        <f t="shared" si="0"/>
        <v>0</v>
      </c>
      <c r="P18" s="244"/>
      <c r="Q18" s="244"/>
      <c r="R18" s="342"/>
    </row>
    <row r="19" spans="2:18">
      <c r="B19" s="1125" t="s">
        <v>249</v>
      </c>
      <c r="C19" s="1125"/>
      <c r="D19" s="167" t="s">
        <v>840</v>
      </c>
      <c r="E19" s="323">
        <v>0</v>
      </c>
      <c r="F19" s="154">
        <v>36000000</v>
      </c>
      <c r="G19" s="323">
        <v>0</v>
      </c>
      <c r="H19" s="323">
        <v>0</v>
      </c>
      <c r="I19" s="323"/>
      <c r="J19" s="491">
        <f>'CONE Calcs'!Inflation+K19</f>
        <v>2.6499999999999999E-2</v>
      </c>
      <c r="K19" s="423">
        <v>4.0000000000000001E-3</v>
      </c>
      <c r="L19" s="155"/>
      <c r="M19" s="244">
        <f t="shared" si="0"/>
        <v>0</v>
      </c>
      <c r="N19" s="244">
        <f t="shared" si="0"/>
        <v>41030000</v>
      </c>
      <c r="O19" s="244">
        <f t="shared" si="0"/>
        <v>0</v>
      </c>
      <c r="P19" s="244"/>
      <c r="Q19" s="244"/>
      <c r="R19" s="342"/>
    </row>
    <row r="20" spans="2:18">
      <c r="B20" s="1125" t="s">
        <v>250</v>
      </c>
      <c r="C20" s="1126"/>
      <c r="D20" s="167" t="s">
        <v>840</v>
      </c>
      <c r="E20" s="323">
        <v>0</v>
      </c>
      <c r="F20" s="323">
        <v>0</v>
      </c>
      <c r="G20" s="244">
        <f>ROUND(1300*'Cost Assumptions'!$F$12*10^3,-3)</f>
        <v>77922000</v>
      </c>
      <c r="H20" s="154">
        <v>0</v>
      </c>
      <c r="I20" s="154"/>
      <c r="J20" s="491">
        <f>'CONE Calcs'!Inflation+K20</f>
        <v>2.6499999999999999E-2</v>
      </c>
      <c r="K20" s="423">
        <v>4.0000000000000001E-3</v>
      </c>
      <c r="L20" s="152"/>
      <c r="M20" s="244">
        <f t="shared" si="0"/>
        <v>0</v>
      </c>
      <c r="N20" s="244">
        <f t="shared" si="0"/>
        <v>0</v>
      </c>
      <c r="O20" s="244">
        <f t="shared" si="0"/>
        <v>88809000</v>
      </c>
      <c r="P20" s="244"/>
      <c r="Q20" s="244"/>
      <c r="R20" s="173"/>
    </row>
    <row r="21" spans="2:18">
      <c r="B21" s="1125" t="s">
        <v>862</v>
      </c>
      <c r="C21" s="1126"/>
      <c r="D21" s="167"/>
      <c r="E21" s="323">
        <v>0</v>
      </c>
      <c r="F21" s="323">
        <v>0</v>
      </c>
      <c r="G21" s="323">
        <v>0</v>
      </c>
      <c r="H21" s="244">
        <f>ROUND(1350*'Cost Assumptions'!$G$12*10^3,-3)</f>
        <v>8100000</v>
      </c>
      <c r="I21" s="154"/>
      <c r="J21" s="491"/>
      <c r="K21" s="423"/>
      <c r="L21" s="152"/>
      <c r="M21" s="244">
        <f>ROUND(E21*(1+$J21)^($N$1-$F$1),-3)</f>
        <v>0</v>
      </c>
      <c r="N21" s="244">
        <f>ROUND(F21*(1+$J21)^($N$1-$F$1),-3)</f>
        <v>0</v>
      </c>
      <c r="O21" s="244">
        <f>ROUND(G21*(1+$J21)^($N$1-$F$1),-3)</f>
        <v>0</v>
      </c>
      <c r="P21" s="244"/>
      <c r="Q21" s="244"/>
      <c r="R21" s="173"/>
    </row>
    <row r="22" spans="2:18">
      <c r="B22" s="1125" t="s">
        <v>251</v>
      </c>
      <c r="C22" s="1126"/>
      <c r="D22" s="167" t="s">
        <v>840</v>
      </c>
      <c r="E22" s="154">
        <f>ROUND(118660325+1852215-77500000-14000000,-3)</f>
        <v>29013000</v>
      </c>
      <c r="F22" s="154">
        <f>ROUND(242677375+3315482-90000000-43000000-26900000-36000000,-3)</f>
        <v>50093000</v>
      </c>
      <c r="G22" s="154">
        <f>ROUND(100*'Cost Assumptions'!$F$12*10^3,-3)</f>
        <v>5994000</v>
      </c>
      <c r="H22" s="154">
        <v>0</v>
      </c>
      <c r="I22" s="154"/>
      <c r="J22" s="491">
        <f>'CONE Calcs'!Inflation+K22</f>
        <v>2.6499999999999999E-2</v>
      </c>
      <c r="K22" s="423">
        <v>4.0000000000000001E-3</v>
      </c>
      <c r="L22" s="152"/>
      <c r="M22" s="244">
        <f t="shared" si="0"/>
        <v>33066000</v>
      </c>
      <c r="N22" s="244">
        <f t="shared" si="0"/>
        <v>57092000</v>
      </c>
      <c r="O22" s="244">
        <f t="shared" si="0"/>
        <v>6831000</v>
      </c>
      <c r="P22" s="244"/>
      <c r="Q22" s="244"/>
      <c r="R22" s="173"/>
    </row>
    <row r="23" spans="2:18">
      <c r="B23" s="1127" t="s">
        <v>248</v>
      </c>
      <c r="C23" s="1126"/>
      <c r="D23" s="1127"/>
      <c r="E23" s="416">
        <f>SUM(E$14:E$22)</f>
        <v>120513000</v>
      </c>
      <c r="F23" s="416">
        <f>SUM(F$14:F$22)</f>
        <v>245993000</v>
      </c>
      <c r="G23" s="416">
        <f>SUM(G$14:G$22)</f>
        <v>83916000</v>
      </c>
      <c r="H23" s="416">
        <f>SUM(H$14:H$22)</f>
        <v>8100000</v>
      </c>
      <c r="I23" s="422"/>
      <c r="J23" s="423" t="s">
        <v>152</v>
      </c>
      <c r="K23" s="423" t="s">
        <v>152</v>
      </c>
      <c r="L23" s="152"/>
      <c r="M23" s="430">
        <f>SUM(M$14:M$22)</f>
        <v>137350000</v>
      </c>
      <c r="N23" s="430">
        <f>SUM(N$14:N$22)</f>
        <v>280362000</v>
      </c>
      <c r="O23" s="430">
        <f>SUM(O$14:O$22)</f>
        <v>95640000</v>
      </c>
      <c r="P23" s="430"/>
      <c r="Q23" s="416"/>
      <c r="R23" s="173"/>
    </row>
    <row r="24" spans="2:18">
      <c r="B24" s="167" t="s">
        <v>127</v>
      </c>
      <c r="C24" s="1126"/>
      <c r="D24" s="167" t="s">
        <v>840</v>
      </c>
      <c r="E24" s="154">
        <f>ROUND(38612477,-3)</f>
        <v>38612000</v>
      </c>
      <c r="F24" s="154">
        <f>ROUND(154139978,-3)</f>
        <v>154140000</v>
      </c>
      <c r="G24" s="244">
        <f>ROUND(120*'Cost Assumptions'!$F$12*10^3,-3)</f>
        <v>7193000</v>
      </c>
      <c r="H24" s="244">
        <f>ROUND(420*'Cost Assumptions'!$G$12*10^3,-3)</f>
        <v>2520000</v>
      </c>
      <c r="I24" s="422"/>
      <c r="J24" s="491">
        <f>'CONE Calcs'!Inflation+K24</f>
        <v>3.7499999999999999E-2</v>
      </c>
      <c r="K24" s="423">
        <v>1.4999999999999999E-2</v>
      </c>
      <c r="L24" s="152"/>
      <c r="M24" s="244">
        <f t="shared" ref="M24:O26" si="1">ROUND(E24*(1+$J24)^($N$1-$F$1),-3)</f>
        <v>46415000</v>
      </c>
      <c r="N24" s="244">
        <f t="shared" si="1"/>
        <v>185292000</v>
      </c>
      <c r="O24" s="244">
        <f t="shared" si="1"/>
        <v>8647000</v>
      </c>
      <c r="P24" s="244"/>
      <c r="Q24" s="244"/>
      <c r="R24" s="173"/>
    </row>
    <row r="25" spans="2:18" ht="12.75" customHeight="1">
      <c r="B25" s="1128" t="s">
        <v>324</v>
      </c>
      <c r="C25" s="1126"/>
      <c r="D25" s="167" t="s">
        <v>840</v>
      </c>
      <c r="E25" s="154">
        <f>ROUND(9968000+2492000+1661000,-3)</f>
        <v>14121000</v>
      </c>
      <c r="F25" s="154">
        <f>ROUND(23833000+8667000+4333000,-3)</f>
        <v>36833000</v>
      </c>
      <c r="G25" s="244">
        <f>ROUND(30*'Cost Assumptions'!$F$12*10^3,-3)</f>
        <v>1798000</v>
      </c>
      <c r="H25" s="244">
        <f>ROUND(170*'Cost Assumptions'!$G$12*10^3,-3)</f>
        <v>1020000</v>
      </c>
      <c r="I25" s="422"/>
      <c r="J25" s="491">
        <f>'CONE Calcs'!Inflation+K25</f>
        <v>3.7499999999999999E-2</v>
      </c>
      <c r="K25" s="423">
        <v>1.4999999999999999E-2</v>
      </c>
      <c r="L25" s="152"/>
      <c r="M25" s="244">
        <f t="shared" si="1"/>
        <v>16975000</v>
      </c>
      <c r="N25" s="244">
        <f t="shared" si="1"/>
        <v>44277000</v>
      </c>
      <c r="O25" s="244">
        <f t="shared" si="1"/>
        <v>2161000</v>
      </c>
      <c r="P25" s="244"/>
      <c r="Q25" s="244"/>
      <c r="R25" s="449" t="s">
        <v>325</v>
      </c>
    </row>
    <row r="26" spans="2:18">
      <c r="B26" s="167" t="s">
        <v>102</v>
      </c>
      <c r="C26" s="1126"/>
      <c r="D26" s="167" t="s">
        <v>840</v>
      </c>
      <c r="E26" s="154">
        <f>ROUND(6108222+274870+623800,-3)</f>
        <v>7007000</v>
      </c>
      <c r="F26" s="154">
        <f>ROUND(30461304+1370759+1365700,-3)</f>
        <v>33198000</v>
      </c>
      <c r="G26" s="244">
        <f>ROUND(110*'Cost Assumptions'!$F$12*10^3,-3)</f>
        <v>6593000</v>
      </c>
      <c r="H26" s="244">
        <f>ROUND(360*'Cost Assumptions'!$G$12*10^3,-3)</f>
        <v>2160000</v>
      </c>
      <c r="I26" s="422"/>
      <c r="J26" s="491">
        <f>'CONE Calcs'!Inflation+K26</f>
        <v>2.6499999999999999E-2</v>
      </c>
      <c r="K26" s="423">
        <v>4.0000000000000001E-3</v>
      </c>
      <c r="L26" s="152"/>
      <c r="M26" s="244">
        <f t="shared" si="1"/>
        <v>7986000</v>
      </c>
      <c r="N26" s="244">
        <f t="shared" si="1"/>
        <v>37836000</v>
      </c>
      <c r="O26" s="244">
        <f t="shared" si="1"/>
        <v>7514000</v>
      </c>
      <c r="P26" s="244"/>
      <c r="Q26" s="244"/>
    </row>
    <row r="27" spans="2:18">
      <c r="B27" s="167" t="s">
        <v>306</v>
      </c>
      <c r="C27" s="1126"/>
      <c r="D27" s="1129" t="s">
        <v>847</v>
      </c>
      <c r="E27" s="244">
        <f>ROUND((E23+E26)*'Cost Assumptions'!D$33,-3)</f>
        <v>7970000</v>
      </c>
      <c r="F27" s="244">
        <f>ROUND((F23+F26)*'Cost Assumptions'!E33,-3)</f>
        <v>17449000</v>
      </c>
      <c r="G27" s="244">
        <f>ROUND((G23+G26)*'Cost Assumptions'!F33,-3)</f>
        <v>4525000</v>
      </c>
      <c r="H27" s="244"/>
      <c r="I27" s="422"/>
      <c r="J27" s="423" t="s">
        <v>152</v>
      </c>
      <c r="K27" s="423" t="s">
        <v>152</v>
      </c>
      <c r="L27" s="420"/>
      <c r="M27" s="415">
        <f>ROUND((M23+M26)*'Cost Assumptions'!D33,-3)</f>
        <v>9084000</v>
      </c>
      <c r="N27" s="415">
        <f>ROUND((N23+N26)*'Cost Assumptions'!E33,-3)</f>
        <v>19887000</v>
      </c>
      <c r="O27" s="415">
        <f>ROUND((O23+O26)*'Cost Assumptions'!F33,-3)</f>
        <v>5158000</v>
      </c>
      <c r="P27" s="415"/>
      <c r="Q27" s="244"/>
    </row>
    <row r="28" spans="2:18">
      <c r="B28" s="167" t="s">
        <v>129</v>
      </c>
      <c r="C28" s="1126"/>
      <c r="D28" s="1129" t="s">
        <v>848</v>
      </c>
      <c r="E28" s="244">
        <f>ROUND(SUM(E23:E27)*'Cost Assumptions'!D$19,-3)</f>
        <v>18822000</v>
      </c>
      <c r="F28" s="244">
        <f>ROUND(SUM(F23:F27)*'Cost Assumptions'!E$19,-3)</f>
        <v>58514000</v>
      </c>
      <c r="G28" s="244">
        <f>ROUND(SUM(G23:G27)*'Cost Assumptions'!F$19,-3)</f>
        <v>10403000</v>
      </c>
      <c r="H28" s="244">
        <f>ROUND(SUM(H23:H27)*'Cost Assumptions'!G$19,-3)</f>
        <v>1380000</v>
      </c>
      <c r="I28" s="422"/>
      <c r="J28" s="423" t="s">
        <v>152</v>
      </c>
      <c r="K28" s="423" t="s">
        <v>152</v>
      </c>
      <c r="L28" s="152"/>
      <c r="M28" s="415">
        <f>ROUND(SUM(M$23:M$27)*'Cost Assumptions'!D$19,-3)</f>
        <v>21781000</v>
      </c>
      <c r="N28" s="415">
        <f>ROUND(SUM(N$23:N$27)*'Cost Assumptions'!E$19,-3)</f>
        <v>68118000</v>
      </c>
      <c r="O28" s="415">
        <f>ROUND(SUM(O$23:O$27)*'Cost Assumptions'!F$19,-3)</f>
        <v>11912000</v>
      </c>
      <c r="P28" s="415"/>
      <c r="Q28" s="244"/>
      <c r="R28" s="173"/>
    </row>
    <row r="29" spans="2:18">
      <c r="B29" s="167" t="s">
        <v>182</v>
      </c>
      <c r="C29" s="1126"/>
      <c r="D29" s="1130" t="s">
        <v>846</v>
      </c>
      <c r="E29" s="244">
        <f>ROUND(SUM(E$23:E$28)*'Cost Assumptions'!D$20,-3)</f>
        <v>20705000</v>
      </c>
      <c r="F29" s="244">
        <f>ROUND(SUM(F$23:F$28)*'Cost Assumptions'!E$20,-3)</f>
        <v>54613000</v>
      </c>
      <c r="G29" s="244">
        <f>ROUND(SUM(G$23:G$28)*'Cost Assumptions'!F$20,-3)</f>
        <v>11443000</v>
      </c>
      <c r="H29" s="244">
        <f>ROUND(SUM(H$23:H$28)*'Cost Assumptions'!G$20,-3)</f>
        <v>1518000</v>
      </c>
      <c r="I29" s="422"/>
      <c r="J29" s="423" t="s">
        <v>152</v>
      </c>
      <c r="K29" s="423" t="s">
        <v>152</v>
      </c>
      <c r="L29" s="152"/>
      <c r="M29" s="415">
        <f>ROUND(SUM(M$23:M$28)*'Cost Assumptions'!D$20,-3)</f>
        <v>23959000</v>
      </c>
      <c r="N29" s="415">
        <f>ROUND(SUM(N$23:N$28)*'Cost Assumptions'!E$20,-3)</f>
        <v>63577000</v>
      </c>
      <c r="O29" s="415">
        <f>ROUND(SUM(O$23:O$28)*'Cost Assumptions'!F$20,-3)</f>
        <v>13103000</v>
      </c>
      <c r="P29" s="415"/>
      <c r="Q29" s="244"/>
      <c r="R29" s="173"/>
    </row>
    <row r="30" spans="2:18" s="453" customFormat="1">
      <c r="B30" s="1131" t="s">
        <v>339</v>
      </c>
      <c r="C30" s="1132"/>
      <c r="D30" s="1133"/>
      <c r="E30" s="462">
        <f>ROUND(SUM(E$23:E$29),-3)</f>
        <v>227750000</v>
      </c>
      <c r="F30" s="462">
        <f>ROUND(SUM(F$23:F$29),-3)</f>
        <v>600740000</v>
      </c>
      <c r="G30" s="462">
        <f>ROUND(SUM(G$23:G$29),-3)</f>
        <v>125871000</v>
      </c>
      <c r="H30" s="462">
        <f>ROUND(SUM(H$23:H$29),-3)</f>
        <v>16698000</v>
      </c>
      <c r="I30" s="462"/>
      <c r="J30" s="1157"/>
      <c r="K30" s="423" t="s">
        <v>152</v>
      </c>
      <c r="L30" s="296"/>
      <c r="M30" s="463">
        <f>SUM(M$23:M$29)</f>
        <v>263550000</v>
      </c>
      <c r="N30" s="463">
        <f>SUM(N$23:N$29)</f>
        <v>699349000</v>
      </c>
      <c r="O30" s="463">
        <f>SUM(O$23:O$29)</f>
        <v>144135000</v>
      </c>
      <c r="P30" s="463"/>
      <c r="Q30" s="462"/>
      <c r="R30" s="464"/>
    </row>
    <row r="31" spans="2:18" ht="6" customHeight="1">
      <c r="B31" s="1134"/>
      <c r="C31" s="1134"/>
      <c r="D31" s="1135"/>
      <c r="E31" s="560"/>
      <c r="F31" s="560"/>
      <c r="G31" s="560"/>
      <c r="H31" s="560"/>
      <c r="I31" s="245"/>
      <c r="J31" s="492"/>
      <c r="K31" s="425"/>
      <c r="L31" s="163"/>
      <c r="M31" s="390"/>
      <c r="N31" s="428"/>
      <c r="O31" s="390"/>
      <c r="P31" s="390"/>
      <c r="Q31" s="390"/>
      <c r="R31" s="184"/>
    </row>
    <row r="32" spans="2:18" ht="6" customHeight="1">
      <c r="B32" s="558"/>
      <c r="C32" s="558"/>
      <c r="D32" s="1136"/>
      <c r="E32" s="247"/>
      <c r="F32" s="247"/>
      <c r="G32" s="247"/>
      <c r="H32" s="247"/>
      <c r="I32" s="246"/>
      <c r="J32" s="493"/>
      <c r="K32" s="426"/>
      <c r="L32" s="152"/>
      <c r="M32" s="248"/>
      <c r="N32" s="248"/>
      <c r="O32" s="248"/>
      <c r="P32" s="248"/>
      <c r="Q32" s="248"/>
      <c r="R32" s="173"/>
    </row>
    <row r="33" spans="2:18">
      <c r="B33" s="1131" t="s">
        <v>122</v>
      </c>
      <c r="C33" s="1131"/>
      <c r="D33" s="1137"/>
      <c r="E33" s="247"/>
      <c r="F33" s="247"/>
      <c r="G33" s="247"/>
      <c r="H33" s="247"/>
      <c r="I33" s="247"/>
      <c r="J33" s="424"/>
      <c r="K33" s="427"/>
      <c r="L33" s="152"/>
      <c r="M33" s="416"/>
      <c r="N33" s="416"/>
      <c r="O33" s="416"/>
      <c r="P33" s="416"/>
      <c r="Q33" s="416"/>
      <c r="R33" s="173"/>
    </row>
    <row r="34" spans="2:18">
      <c r="B34" s="167" t="s">
        <v>120</v>
      </c>
      <c r="C34" s="1126"/>
      <c r="D34" s="1129" t="s">
        <v>841</v>
      </c>
      <c r="E34" s="244">
        <f>ROUND(E$30*'Cost Assumptions'!D$21,-3)</f>
        <v>15943000</v>
      </c>
      <c r="F34" s="244">
        <f>ROUND(F$30*'Cost Assumptions'!E$21,-3)</f>
        <v>42052000</v>
      </c>
      <c r="G34" s="244">
        <f>ROUND(G$30*'Cost Assumptions'!F$21,-3)</f>
        <v>8811000</v>
      </c>
      <c r="H34" s="244">
        <f>ROUND(H$30*'Cost Assumptions'!G$21,-3)</f>
        <v>1169000</v>
      </c>
      <c r="I34" s="422"/>
      <c r="J34" s="423" t="s">
        <v>152</v>
      </c>
      <c r="K34" s="423" t="s">
        <v>152</v>
      </c>
      <c r="L34" s="152"/>
      <c r="M34" s="415">
        <f>ROUND(M$30*'Cost Assumptions'!D$21,-3)</f>
        <v>18449000</v>
      </c>
      <c r="N34" s="415">
        <f>ROUND(N$30*'Cost Assumptions'!E$21,-3)</f>
        <v>48954000</v>
      </c>
      <c r="O34" s="415">
        <f>ROUND(O$30*'Cost Assumptions'!F$21,-3)</f>
        <v>10089000</v>
      </c>
      <c r="P34" s="415"/>
      <c r="Q34" s="244"/>
      <c r="R34" s="173" t="s">
        <v>189</v>
      </c>
    </row>
    <row r="35" spans="2:18">
      <c r="B35" s="167" t="s">
        <v>131</v>
      </c>
      <c r="C35" s="1126"/>
      <c r="D35" s="1129" t="s">
        <v>840</v>
      </c>
      <c r="E35" s="374">
        <f>'Cost Assumptions'!D$25*10^6</f>
        <v>4000000</v>
      </c>
      <c r="F35" s="374">
        <f>'Cost Assumptions'!E$25*10^6</f>
        <v>16000000</v>
      </c>
      <c r="G35" s="374">
        <f>'Cost Assumptions'!F$25*10^6</f>
        <v>19000000</v>
      </c>
      <c r="H35" s="374">
        <f>'Cost Assumptions'!G$25*10^6</f>
        <v>300000</v>
      </c>
      <c r="I35" s="422"/>
      <c r="J35" s="491">
        <f>'CONE Calcs'!Inflation+K35</f>
        <v>2.6499999999999999E-2</v>
      </c>
      <c r="K35" s="423">
        <v>4.0000000000000001E-3</v>
      </c>
      <c r="L35" s="152"/>
      <c r="M35" s="244">
        <f t="shared" ref="M35:O36" si="2">ROUND(E35*(1+$J35)^($N$1-$F$1),-3)</f>
        <v>4559000</v>
      </c>
      <c r="N35" s="244">
        <f t="shared" si="2"/>
        <v>18235000</v>
      </c>
      <c r="O35" s="244">
        <f t="shared" si="2"/>
        <v>21655000</v>
      </c>
      <c r="P35" s="244"/>
      <c r="Q35" s="244"/>
    </row>
    <row r="36" spans="2:18">
      <c r="B36" s="167" t="s">
        <v>79</v>
      </c>
      <c r="C36" s="1126"/>
      <c r="D36" s="1129" t="s">
        <v>840</v>
      </c>
      <c r="E36" s="374">
        <f>ROUND('Cost Assumptions'!D29*10^6,-3)</f>
        <v>3600000</v>
      </c>
      <c r="F36" s="374">
        <f>ROUND('Cost Assumptions'!E29*10^6,-3)</f>
        <v>3600000</v>
      </c>
      <c r="G36" s="323">
        <v>0</v>
      </c>
      <c r="H36" s="323">
        <v>0</v>
      </c>
      <c r="I36" s="422"/>
      <c r="J36" s="491">
        <f>'CONE Calcs'!Inflation+K36</f>
        <v>2.6499999999999999E-2</v>
      </c>
      <c r="K36" s="423">
        <v>4.0000000000000001E-3</v>
      </c>
      <c r="L36" s="152"/>
      <c r="M36" s="244">
        <f t="shared" si="2"/>
        <v>4103000</v>
      </c>
      <c r="N36" s="244">
        <f t="shared" si="2"/>
        <v>4103000</v>
      </c>
      <c r="O36" s="244">
        <f t="shared" si="2"/>
        <v>0</v>
      </c>
      <c r="P36" s="323"/>
      <c r="Q36" s="244"/>
    </row>
    <row r="37" spans="2:18">
      <c r="B37" s="167" t="s">
        <v>133</v>
      </c>
      <c r="C37" s="1126"/>
      <c r="D37" s="1129" t="s">
        <v>842</v>
      </c>
      <c r="E37" s="323">
        <v>0</v>
      </c>
      <c r="F37" s="323">
        <v>0</v>
      </c>
      <c r="G37" s="323">
        <v>0</v>
      </c>
      <c r="H37" s="323">
        <v>0</v>
      </c>
      <c r="I37" s="422"/>
      <c r="J37" s="423" t="s">
        <v>152</v>
      </c>
      <c r="K37" s="423" t="s">
        <v>152</v>
      </c>
      <c r="L37" s="152"/>
      <c r="M37" s="323">
        <v>0</v>
      </c>
      <c r="N37" s="323">
        <v>0</v>
      </c>
      <c r="O37" s="323">
        <v>0</v>
      </c>
      <c r="P37" s="323"/>
      <c r="Q37" s="244"/>
      <c r="R37" s="173" t="s">
        <v>303</v>
      </c>
    </row>
    <row r="38" spans="2:18">
      <c r="B38" s="167" t="s">
        <v>135</v>
      </c>
      <c r="C38" s="1126"/>
      <c r="D38" s="1129" t="s">
        <v>842</v>
      </c>
      <c r="E38" s="323">
        <v>0</v>
      </c>
      <c r="F38" s="323">
        <v>0</v>
      </c>
      <c r="G38" s="323">
        <v>0</v>
      </c>
      <c r="H38" s="323">
        <v>0</v>
      </c>
      <c r="I38" s="422"/>
      <c r="J38" s="423" t="s">
        <v>152</v>
      </c>
      <c r="K38" s="423" t="s">
        <v>152</v>
      </c>
      <c r="L38" s="152"/>
      <c r="M38" s="323">
        <v>0</v>
      </c>
      <c r="N38" s="323">
        <v>0</v>
      </c>
      <c r="O38" s="323">
        <v>0</v>
      </c>
      <c r="P38" s="323"/>
      <c r="Q38" s="244"/>
      <c r="R38" s="371" t="s">
        <v>302</v>
      </c>
    </row>
    <row r="39" spans="2:18">
      <c r="B39" s="167" t="s">
        <v>850</v>
      </c>
      <c r="C39" s="1126"/>
      <c r="D39" s="1129"/>
      <c r="E39" s="1149">
        <f>ROUND('Cost Assumptions'!D$35,-3)</f>
        <v>2529000</v>
      </c>
      <c r="F39" s="1149">
        <f>ROUND('Cost Assumptions'!E$35,-3)</f>
        <v>7499000</v>
      </c>
      <c r="G39" s="323">
        <v>0</v>
      </c>
      <c r="H39" s="323">
        <v>0</v>
      </c>
      <c r="I39" s="422"/>
      <c r="J39" s="491">
        <f>'CONE Calcs'!Inflation+K39</f>
        <v>1.1999999999999999E-2</v>
      </c>
      <c r="K39" s="423">
        <v>-1.0500000000000001E-2</v>
      </c>
      <c r="L39" s="152"/>
      <c r="M39" s="244">
        <f>ROUND(E39*(1+$J39)^($N$1-$F$1),-3)</f>
        <v>2684000</v>
      </c>
      <c r="N39" s="244">
        <f>ROUND(F39*(1+$J39)^($N$1-$F$1),-3)</f>
        <v>7960000</v>
      </c>
      <c r="O39" s="154">
        <v>0</v>
      </c>
      <c r="P39" s="154"/>
      <c r="Q39" s="244"/>
      <c r="R39" s="371"/>
    </row>
    <row r="40" spans="2:18">
      <c r="B40" s="167" t="s">
        <v>265</v>
      </c>
      <c r="C40" s="1126"/>
      <c r="D40" s="1129" t="s">
        <v>843</v>
      </c>
      <c r="E40" s="244">
        <f>ROUND(E$30*'Cost Assumptions'!D$22,-3)</f>
        <v>2278000</v>
      </c>
      <c r="F40" s="244">
        <f>ROUND(F$30*'Cost Assumptions'!E$22,-3)</f>
        <v>6007000</v>
      </c>
      <c r="G40" s="244">
        <f>ROUND(G$30*'Cost Assumptions'!F$22,-3)</f>
        <v>1259000</v>
      </c>
      <c r="H40" s="244">
        <f>ROUND(H$30*'Cost Assumptions'!G$22,-3)</f>
        <v>167000</v>
      </c>
      <c r="I40" s="422"/>
      <c r="J40" s="423" t="s">
        <v>152</v>
      </c>
      <c r="K40" s="423" t="s">
        <v>152</v>
      </c>
      <c r="L40" s="152"/>
      <c r="M40" s="244">
        <f>ROUND(M$30*'Cost Assumptions'!D$22,-3)</f>
        <v>2636000</v>
      </c>
      <c r="N40" s="244">
        <f>ROUND(N$30*'Cost Assumptions'!E$22,-3)</f>
        <v>6993000</v>
      </c>
      <c r="O40" s="244">
        <f>ROUND(O$30*'Cost Assumptions'!F$22,-3)</f>
        <v>1441000</v>
      </c>
      <c r="P40" s="244"/>
      <c r="Q40" s="244"/>
      <c r="R40" s="371" t="s">
        <v>283</v>
      </c>
    </row>
    <row r="41" spans="2:18">
      <c r="B41" s="167" t="s">
        <v>183</v>
      </c>
      <c r="C41" s="1126"/>
      <c r="D41" s="1130" t="s">
        <v>849</v>
      </c>
      <c r="E41" s="244">
        <f>ROUND(SUM(E$34:E$40)*'Cost Assumptions'!D$23,-3)</f>
        <v>2268000</v>
      </c>
      <c r="F41" s="244">
        <f>ROUND(SUM(F$34:F$40)*'Cost Assumptions'!E$23,-3)</f>
        <v>6013000</v>
      </c>
      <c r="G41" s="244">
        <f>ROUND(SUM(G$34:G$40)*'Cost Assumptions'!F$23,-3)</f>
        <v>2326000</v>
      </c>
      <c r="H41" s="244">
        <f>ROUND(SUM(H$34:H$40)*'Cost Assumptions'!G$23,-3)</f>
        <v>131000</v>
      </c>
      <c r="I41" s="422"/>
      <c r="J41" s="423" t="s">
        <v>152</v>
      </c>
      <c r="K41" s="423" t="s">
        <v>152</v>
      </c>
      <c r="L41" s="152"/>
      <c r="M41" s="415">
        <f>ROUND(SUM(M$34:M$40)*'Cost Assumptions'!D$23,-3)</f>
        <v>2594000</v>
      </c>
      <c r="N41" s="415">
        <f>ROUND(SUM(N$34:N$40)*'Cost Assumptions'!E$23,-3)</f>
        <v>6900000</v>
      </c>
      <c r="O41" s="415">
        <f>ROUND(SUM(O$34:O$40)*'Cost Assumptions'!F$23,-3)</f>
        <v>2655000</v>
      </c>
      <c r="P41" s="415"/>
      <c r="Q41" s="244"/>
      <c r="R41" s="173"/>
    </row>
    <row r="42" spans="2:18">
      <c r="B42" s="1138" t="s">
        <v>184</v>
      </c>
      <c r="C42" s="1126"/>
      <c r="D42" s="1139"/>
      <c r="E42" s="244">
        <f>SUM(E$34:E$41)</f>
        <v>30618000</v>
      </c>
      <c r="F42" s="244">
        <f>SUM(F$34:F$41)</f>
        <v>81171000</v>
      </c>
      <c r="G42" s="244">
        <f>SUM(G$34:G$41)</f>
        <v>31396000</v>
      </c>
      <c r="H42" s="244">
        <f>SUM(H$34:H$41)</f>
        <v>1767000</v>
      </c>
      <c r="I42" s="422"/>
      <c r="J42" s="423" t="s">
        <v>152</v>
      </c>
      <c r="K42" s="423" t="s">
        <v>152</v>
      </c>
      <c r="L42" s="152"/>
      <c r="M42" s="415">
        <f>SUM(M$34:M$41)</f>
        <v>35025000</v>
      </c>
      <c r="N42" s="415">
        <f>SUM(N$34:N$41)</f>
        <v>93145000</v>
      </c>
      <c r="O42" s="415">
        <f>SUM(O$34:O$41)</f>
        <v>35840000</v>
      </c>
      <c r="P42" s="415"/>
      <c r="Q42" s="244"/>
      <c r="R42" s="173"/>
    </row>
    <row r="43" spans="2:18">
      <c r="B43" s="167" t="s">
        <v>86</v>
      </c>
      <c r="C43" s="1126"/>
      <c r="D43" s="1130" t="s">
        <v>844</v>
      </c>
      <c r="E43" s="244">
        <f>ROUND(SUM(E$30,E$42)*'CONE Calcs'!$D$48*'Cost Assumptions'!D$24,-3)</f>
        <v>5167000</v>
      </c>
      <c r="F43" s="244">
        <f>ROUND(SUM(F$30,F$42)*'CONE Calcs'!$D$48*'Cost Assumptions'!E$24,-3)</f>
        <v>13638000</v>
      </c>
      <c r="G43" s="244">
        <f>ROUND(SUM(G$30,G$42)*'CONE Calcs'!$D$48*'Cost Assumptions'!F$24,-3)</f>
        <v>3145000</v>
      </c>
      <c r="H43" s="244">
        <f>ROUND(SUM(H$30,H$42)*'CONE Calcs'!$D$48*'Cost Assumptions'!G$24,-3)</f>
        <v>369000</v>
      </c>
      <c r="I43" s="422"/>
      <c r="J43" s="423" t="s">
        <v>152</v>
      </c>
      <c r="K43" s="423" t="s">
        <v>152</v>
      </c>
      <c r="L43" s="152"/>
      <c r="M43" s="415">
        <f>ROUND(SUM(M$30,M$42)*'CONE Calcs'!$D$48*'Cost Assumptions'!D$24,-3)</f>
        <v>5972000</v>
      </c>
      <c r="N43" s="415">
        <f>ROUND(SUM(N$30,N$42)*'CONE Calcs'!$D$48*'Cost Assumptions'!E$24,-3)</f>
        <v>15850000</v>
      </c>
      <c r="O43" s="415">
        <f>ROUND(SUM(O$30,O$42)*'CONE Calcs'!$D$48*'Cost Assumptions'!F$24,-3)</f>
        <v>3600000</v>
      </c>
      <c r="P43" s="415"/>
      <c r="Q43" s="244"/>
      <c r="R43" s="173"/>
    </row>
    <row r="44" spans="2:18" s="453" customFormat="1">
      <c r="B44" s="1131" t="s">
        <v>340</v>
      </c>
      <c r="C44" s="1132"/>
      <c r="D44" s="1133"/>
      <c r="E44" s="462">
        <f>SUM(E$42:E$43)</f>
        <v>35785000</v>
      </c>
      <c r="F44" s="462">
        <f>SUM(F$42:F$43)</f>
        <v>94809000</v>
      </c>
      <c r="G44" s="462">
        <f>SUM(G$42:G$43)</f>
        <v>34541000</v>
      </c>
      <c r="H44" s="462">
        <f>SUM(H$42:H$43)</f>
        <v>2136000</v>
      </c>
      <c r="I44" s="465"/>
      <c r="J44" s="423" t="s">
        <v>152</v>
      </c>
      <c r="K44" s="423" t="s">
        <v>152</v>
      </c>
      <c r="L44" s="296"/>
      <c r="M44" s="466">
        <f>SUM(M$42:M$43)</f>
        <v>40997000</v>
      </c>
      <c r="N44" s="466">
        <f>SUM(N$42:N$43)</f>
        <v>108995000</v>
      </c>
      <c r="O44" s="466">
        <f>SUM(O$42:O$43)</f>
        <v>39440000</v>
      </c>
      <c r="P44" s="466"/>
      <c r="Q44" s="465"/>
      <c r="R44" s="464"/>
    </row>
    <row r="45" spans="2:18" ht="6" customHeight="1">
      <c r="B45" s="389"/>
      <c r="C45" s="389"/>
      <c r="D45" s="389"/>
      <c r="E45" s="428"/>
      <c r="F45" s="428"/>
      <c r="G45" s="428"/>
      <c r="H45" s="428"/>
      <c r="I45" s="390"/>
      <c r="J45" s="390"/>
      <c r="K45" s="390"/>
      <c r="L45" s="163"/>
      <c r="M45" s="390"/>
      <c r="N45" s="390"/>
      <c r="O45" s="390"/>
      <c r="P45" s="390"/>
      <c r="Q45" s="390"/>
      <c r="R45" s="184"/>
    </row>
    <row r="46" spans="2:18" ht="6" customHeight="1">
      <c r="B46" s="226"/>
      <c r="C46" s="226"/>
      <c r="D46" s="226"/>
      <c r="E46" s="416"/>
      <c r="F46" s="416"/>
      <c r="G46" s="416"/>
      <c r="H46" s="416"/>
      <c r="I46" s="248"/>
      <c r="J46" s="248"/>
      <c r="K46" s="248"/>
      <c r="L46" s="152"/>
      <c r="M46" s="248"/>
      <c r="N46" s="248"/>
      <c r="O46" s="248"/>
      <c r="P46" s="248"/>
      <c r="Q46" s="248"/>
      <c r="R46" s="173"/>
    </row>
    <row r="47" spans="2:18" s="453" customFormat="1">
      <c r="B47" s="153" t="s">
        <v>304</v>
      </c>
      <c r="C47" s="461"/>
      <c r="D47" s="461"/>
      <c r="E47" s="462">
        <f>E$30+E$44</f>
        <v>263535000</v>
      </c>
      <c r="F47" s="462">
        <f>F$30+F$44</f>
        <v>695549000</v>
      </c>
      <c r="G47" s="462">
        <f>G$30+G$44</f>
        <v>160412000</v>
      </c>
      <c r="H47" s="462">
        <f>H$30+H$44</f>
        <v>18834000</v>
      </c>
      <c r="I47" s="465"/>
      <c r="J47" s="491">
        <f>'CONE Calcs'!Inflation+K47</f>
        <v>-3.7499999999999999E-2</v>
      </c>
      <c r="K47" s="1163">
        <v>-0.06</v>
      </c>
      <c r="L47" s="296"/>
      <c r="M47" s="465">
        <f>M$30+M$44</f>
        <v>304547000</v>
      </c>
      <c r="N47" s="465">
        <f>N$30+N$44</f>
        <v>808344000</v>
      </c>
      <c r="O47" s="465">
        <f>O$30+O$44</f>
        <v>183575000</v>
      </c>
      <c r="P47" s="244">
        <f>ROUND(H47*(1+$J47)^($N$1-$F$1),-3)</f>
        <v>15558000</v>
      </c>
      <c r="Q47" s="465"/>
      <c r="R47" s="464"/>
    </row>
    <row r="48" spans="2:18">
      <c r="B48" s="153" t="s">
        <v>282</v>
      </c>
      <c r="C48" s="153"/>
      <c r="D48" s="153"/>
      <c r="E48" s="416">
        <f>E$47/('Cost Assumptions'!D12*10^3)</f>
        <v>1370.1375674579656</v>
      </c>
      <c r="F48" s="416">
        <f>F$47/('Cost Assumptions'!E12*10^3)</f>
        <v>953.32922149122805</v>
      </c>
      <c r="G48" s="416">
        <f>G$47/('Cost Assumptions'!F12*10^3)</f>
        <v>2676.2095428762091</v>
      </c>
      <c r="H48" s="416">
        <f>H$47/('Cost Assumptions'!G12*10^3)</f>
        <v>3139</v>
      </c>
      <c r="I48" s="248"/>
      <c r="J48" s="248"/>
      <c r="K48" s="248"/>
      <c r="L48" s="152"/>
      <c r="M48" s="248">
        <f>M$47/('Cost Assumptions'!D12*10^3)</f>
        <v>1583.3619282320035</v>
      </c>
      <c r="N48" s="248">
        <f>N$47/('Cost Assumptions'!E12*10^3)</f>
        <v>1107.9276315789473</v>
      </c>
      <c r="O48" s="248">
        <f>O$47/('Cost Assumptions'!F12*10^3)</f>
        <v>3062.6459793126455</v>
      </c>
      <c r="P48" s="248">
        <f>P$47/('Cost Assumptions'!G12*10^3)</f>
        <v>2593</v>
      </c>
      <c r="Q48" s="248"/>
      <c r="R48" s="1156">
        <f>(P48/H48)^0.2-1</f>
        <v>-3.7496671130686221E-2</v>
      </c>
    </row>
    <row r="49" spans="2:18" ht="6" customHeight="1" thickBot="1">
      <c r="B49" s="169"/>
      <c r="C49" s="169"/>
      <c r="D49" s="169"/>
      <c r="E49" s="170"/>
      <c r="F49" s="170"/>
      <c r="G49" s="170"/>
      <c r="H49" s="170"/>
      <c r="I49" s="170"/>
      <c r="J49" s="170"/>
      <c r="K49" s="170"/>
      <c r="L49" s="171"/>
      <c r="M49" s="170"/>
      <c r="N49" s="170"/>
      <c r="O49" s="170"/>
      <c r="P49" s="170"/>
      <c r="Q49" s="170"/>
      <c r="R49" s="185"/>
    </row>
    <row r="50" spans="2:18" ht="6" customHeight="1" thickTop="1">
      <c r="B50" s="153" t="s">
        <v>137</v>
      </c>
      <c r="C50" s="153"/>
      <c r="D50" s="153"/>
      <c r="E50" s="156"/>
      <c r="F50" s="156"/>
      <c r="G50" s="156"/>
      <c r="H50" s="156"/>
      <c r="I50" s="156"/>
      <c r="J50" s="156"/>
      <c r="K50" s="156"/>
      <c r="L50" s="152"/>
      <c r="M50" s="156"/>
      <c r="N50" s="156"/>
      <c r="O50" s="156"/>
      <c r="P50" s="156"/>
      <c r="Q50" s="156"/>
      <c r="R50" s="173"/>
    </row>
    <row r="51" spans="2:18">
      <c r="B51" s="144"/>
      <c r="C51" s="144"/>
      <c r="D51" s="144"/>
      <c r="E51" s="561"/>
      <c r="F51" s="561"/>
      <c r="G51" s="562"/>
      <c r="H51" s="562"/>
      <c r="I51" s="145"/>
      <c r="J51" s="145"/>
      <c r="K51" s="145"/>
      <c r="L51" s="146"/>
      <c r="M51" s="145"/>
      <c r="N51" s="145"/>
      <c r="O51" s="145"/>
      <c r="P51" s="145"/>
      <c r="Q51" s="145"/>
      <c r="R51" s="186"/>
    </row>
    <row r="52" spans="2:18">
      <c r="B52" s="145"/>
      <c r="C52" s="145"/>
      <c r="D52" s="145"/>
      <c r="E52" s="562"/>
      <c r="F52" s="562"/>
      <c r="G52" s="562"/>
      <c r="H52" s="562"/>
      <c r="I52" s="145"/>
      <c r="J52" s="145"/>
      <c r="K52" s="145"/>
      <c r="L52" s="146"/>
      <c r="M52" s="145"/>
      <c r="N52" s="145"/>
      <c r="O52" s="145"/>
      <c r="P52" s="145"/>
      <c r="Q52" s="145"/>
      <c r="R52" s="186"/>
    </row>
    <row r="53" spans="2:18">
      <c r="B53" s="145"/>
      <c r="C53" s="145"/>
      <c r="D53" s="145"/>
      <c r="E53" s="562"/>
      <c r="F53" s="562"/>
      <c r="G53" s="562"/>
      <c r="H53" s="562"/>
      <c r="I53" s="145"/>
      <c r="J53" s="145"/>
      <c r="K53" s="145"/>
      <c r="L53" s="146"/>
      <c r="M53" s="145"/>
      <c r="N53" s="145"/>
      <c r="O53" s="145"/>
      <c r="P53" s="145"/>
      <c r="Q53" s="145"/>
      <c r="R53" s="186"/>
    </row>
    <row r="54" spans="2:18">
      <c r="B54" s="145"/>
      <c r="C54" s="145"/>
      <c r="D54" s="145"/>
      <c r="E54" s="562"/>
      <c r="F54" s="562"/>
      <c r="G54" s="562"/>
      <c r="H54" s="562"/>
      <c r="I54" s="145"/>
      <c r="J54" s="145"/>
      <c r="K54" s="145"/>
      <c r="L54" s="145"/>
      <c r="M54" s="145"/>
      <c r="N54" s="145"/>
      <c r="O54" s="145"/>
      <c r="P54" s="145"/>
      <c r="Q54" s="145"/>
      <c r="R54" s="186"/>
    </row>
    <row r="55" spans="2:18">
      <c r="B55" s="145"/>
      <c r="C55" s="145"/>
      <c r="D55" s="145"/>
      <c r="E55" s="562"/>
      <c r="F55" s="562"/>
      <c r="G55" s="562"/>
      <c r="H55" s="562"/>
      <c r="I55" s="145"/>
      <c r="J55" s="145"/>
      <c r="K55" s="145"/>
      <c r="L55" s="145"/>
      <c r="M55" s="145"/>
      <c r="N55" s="145"/>
      <c r="O55" s="145"/>
      <c r="P55" s="145"/>
      <c r="Q55" s="145"/>
      <c r="R55" s="186"/>
    </row>
    <row r="56" spans="2:18">
      <c r="B56" s="145"/>
      <c r="C56" s="145"/>
      <c r="D56" s="145"/>
      <c r="E56" s="562"/>
      <c r="F56" s="562"/>
      <c r="G56" s="562"/>
      <c r="H56" s="562"/>
      <c r="I56" s="145"/>
      <c r="J56" s="145"/>
      <c r="K56" s="145"/>
      <c r="L56" s="145"/>
      <c r="M56" s="145"/>
      <c r="N56" s="145"/>
      <c r="O56" s="145"/>
      <c r="P56" s="145"/>
      <c r="Q56" s="145"/>
      <c r="R56" s="186"/>
    </row>
    <row r="57" spans="2:18">
      <c r="B57" s="145"/>
      <c r="C57" s="145"/>
      <c r="D57" s="145"/>
      <c r="E57" s="562"/>
      <c r="F57" s="562"/>
      <c r="G57" s="562"/>
      <c r="H57" s="562"/>
      <c r="I57" s="145"/>
      <c r="J57" s="145"/>
      <c r="K57" s="145"/>
      <c r="L57" s="145"/>
      <c r="M57" s="145"/>
      <c r="N57" s="145"/>
      <c r="O57" s="145"/>
      <c r="P57" s="145"/>
      <c r="Q57" s="145"/>
      <c r="R57" s="186"/>
    </row>
  </sheetData>
  <pageMargins left="0.7" right="0.7" top="0.75" bottom="0.75" header="0.3" footer="0.3"/>
  <pageSetup orientation="portrait" blackAndWhite="1" r:id="rId1"/>
  <ignoredErrors>
    <ignoredError sqref="M23:N23 O2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26</vt:i4>
      </vt:variant>
    </vt:vector>
  </HeadingPairs>
  <TitlesOfParts>
    <vt:vector size="64" baseType="lpstr">
      <vt:lpstr>ORTP Summary</vt:lpstr>
      <vt:lpstr>Annual Update Instructions</vt:lpstr>
      <vt:lpstr>Generation&gt;&gt;</vt:lpstr>
      <vt:lpstr>CONE Calcs</vt:lpstr>
      <vt:lpstr>Construction Cashflows</vt:lpstr>
      <vt:lpstr>Annual Updates Calcs</vt:lpstr>
      <vt:lpstr>Generation Data&gt;&gt;&gt;</vt:lpstr>
      <vt:lpstr>Unit Specifications</vt:lpstr>
      <vt:lpstr>Capital Costs</vt:lpstr>
      <vt:lpstr>O&amp;M Costs</vt:lpstr>
      <vt:lpstr>Cost Assumptions</vt:lpstr>
      <vt:lpstr>Interconnection Costs</vt:lpstr>
      <vt:lpstr>Capital Drawdown Schedule</vt:lpstr>
      <vt:lpstr>Tax Depreciation</vt:lpstr>
      <vt:lpstr>Revenue Offsets</vt:lpstr>
      <vt:lpstr>Cost Index Data</vt:lpstr>
      <vt:lpstr>Revenue Calcs&gt;&gt;</vt:lpstr>
      <vt:lpstr>Annual Results</vt:lpstr>
      <vt:lpstr>Margin Forecast</vt:lpstr>
      <vt:lpstr>Futures Prices</vt:lpstr>
      <vt:lpstr>Historical Prices</vt:lpstr>
      <vt:lpstr>DR&gt;&gt;</vt:lpstr>
      <vt:lpstr>Mass Market</vt:lpstr>
      <vt:lpstr>Large C&amp;I</vt:lpstr>
      <vt:lpstr>EE&gt;&gt;</vt:lpstr>
      <vt:lpstr>EE ORTP Calc</vt:lpstr>
      <vt:lpstr>EE Savings</vt:lpstr>
      <vt:lpstr>EE Programs</vt:lpstr>
      <vt:lpstr>State Programs Summary</vt:lpstr>
      <vt:lpstr>MA raw</vt:lpstr>
      <vt:lpstr>VT raw</vt:lpstr>
      <vt:lpstr>NH raw</vt:lpstr>
      <vt:lpstr>ME raw</vt:lpstr>
      <vt:lpstr>CT CLP raw</vt:lpstr>
      <vt:lpstr>CT UI raw</vt:lpstr>
      <vt:lpstr>RI raw</vt:lpstr>
      <vt:lpstr>Capital Costs Summary</vt:lpstr>
      <vt:lpstr>Shaw Comparison</vt:lpstr>
      <vt:lpstr>'CONE Calcs'!ATWACC</vt:lpstr>
      <vt:lpstr>'CONE Calcs'!Debt_Fraction</vt:lpstr>
      <vt:lpstr>'CONE Calcs'!Debt_Rate</vt:lpstr>
      <vt:lpstr>Depreciable_Cost</vt:lpstr>
      <vt:lpstr>EAS</vt:lpstr>
      <vt:lpstr>'CONE Calcs'!Economic_Life</vt:lpstr>
      <vt:lpstr>'CONE Calcs'!Equity_Rate</vt:lpstr>
      <vt:lpstr>Escalation_Rate</vt:lpstr>
      <vt:lpstr>'CONE Calcs'!Inflation</vt:lpstr>
      <vt:lpstr>'Revenue Offsets'!Inflation</vt:lpstr>
      <vt:lpstr>Installed_Cost</vt:lpstr>
      <vt:lpstr>'CONE Calcs'!Interest_During_Construction</vt:lpstr>
      <vt:lpstr>'CONE Calcs'!ITC</vt:lpstr>
      <vt:lpstr>Perf_Inc</vt:lpstr>
      <vt:lpstr>PI</vt:lpstr>
      <vt:lpstr>'CONE Calcs'!Plant_Capacity</vt:lpstr>
      <vt:lpstr>'CONE Calcs'!Print_Area</vt:lpstr>
      <vt:lpstr>'NH raw'!Print_Area</vt:lpstr>
      <vt:lpstr>'VT raw'!Print_Area</vt:lpstr>
      <vt:lpstr>'CONE Calcs'!Print_Titles</vt:lpstr>
      <vt:lpstr>'CONE Calcs'!PTC</vt:lpstr>
      <vt:lpstr>REC</vt:lpstr>
      <vt:lpstr>'CONE Calcs'!Tax_Depreciation</vt:lpstr>
      <vt:lpstr>'CONE Calcs'!Tax_Rate</vt:lpstr>
      <vt:lpstr>Technology</vt:lpstr>
      <vt:lpstr>techs</vt:lpstr>
    </vt:vector>
  </TitlesOfParts>
  <Company>The Brattle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 aydin</dc:creator>
  <cp:lastModifiedBy>akuznecow</cp:lastModifiedBy>
  <cp:lastPrinted>2013-09-03T13:21:31Z</cp:lastPrinted>
  <dcterms:created xsi:type="dcterms:W3CDTF">2011-04-18T16:49:37Z</dcterms:created>
  <dcterms:modified xsi:type="dcterms:W3CDTF">2013-10-03T14:24:50Z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 linkTarget="Prop_Tax">
    <vt:lpwstr>#REF!</vt:lpwstr>
  </property>
  <property fmtid="{D5CDD505-2E9C-101B-9397-08002B2CF9AE}" pid="3" name="Tax_Rate" linkTarget="Prop_Tax_Rate">
    <vt:lpwstr>#REF!</vt:lpwstr>
  </property>
</Properties>
</file>