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20" yWindow="120" windowWidth="20736" windowHeight="10800" activeTab="2"/>
  </bookViews>
  <sheets>
    <sheet name="Instructions" sheetId="4" r:id="rId1"/>
    <sheet name="Definitions" sheetId="1" r:id="rId2"/>
    <sheet name="Portfolio Set-up" sheetId="3" r:id="rId3"/>
    <sheet name="Delivery FA Calculation" sheetId="2" r:id="rId4"/>
    <sheet name="Static Data" sheetId="5" r:id="rId5"/>
  </sheets>
  <definedNames>
    <definedName name="_xlnm.Print_Area" localSheetId="1">Definitions!$A$1:$B$11</definedName>
  </definedNames>
  <calcPr calcId="162913"/>
</workbook>
</file>

<file path=xl/calcChain.xml><?xml version="1.0" encoding="utf-8"?>
<calcChain xmlns="http://schemas.openxmlformats.org/spreadsheetml/2006/main">
  <c r="B38" i="5" l="1"/>
  <c r="B39" i="5"/>
  <c r="B40" i="5"/>
  <c r="B41" i="5"/>
  <c r="B42" i="5"/>
  <c r="B43" i="5"/>
  <c r="B44" i="5"/>
  <c r="B45" i="5"/>
  <c r="B46" i="5"/>
  <c r="B47" i="5"/>
  <c r="B48" i="5"/>
  <c r="B37" i="5"/>
  <c r="M11" i="3" l="1"/>
  <c r="M12" i="3"/>
  <c r="M13" i="3"/>
  <c r="M14" i="3"/>
  <c r="M15" i="3"/>
  <c r="M16" i="3"/>
  <c r="M17" i="3"/>
  <c r="M18" i="3"/>
  <c r="M19" i="3"/>
  <c r="M20" i="3"/>
  <c r="M21" i="3"/>
  <c r="M22" i="3"/>
  <c r="M23" i="3"/>
  <c r="M24" i="3"/>
  <c r="M25" i="3"/>
  <c r="M26" i="3"/>
  <c r="M27" i="3"/>
  <c r="M28" i="3"/>
  <c r="M29" i="3"/>
  <c r="M30" i="3"/>
  <c r="M31" i="3"/>
  <c r="M32" i="3"/>
  <c r="M33" i="3"/>
  <c r="M34" i="3"/>
  <c r="M35" i="3"/>
  <c r="M36" i="3"/>
  <c r="M37" i="3"/>
  <c r="M38" i="3"/>
  <c r="M39" i="3"/>
  <c r="M40" i="3"/>
  <c r="M41" i="3"/>
  <c r="M42" i="3"/>
  <c r="M43" i="3"/>
  <c r="M44" i="3"/>
  <c r="M45" i="3"/>
  <c r="M46" i="3"/>
  <c r="M47" i="3"/>
  <c r="M48" i="3"/>
  <c r="M49" i="3"/>
  <c r="M50" i="3"/>
  <c r="M51" i="3"/>
  <c r="M52" i="3"/>
  <c r="M53" i="3"/>
  <c r="M54" i="3"/>
  <c r="M55" i="3"/>
  <c r="M56" i="3"/>
  <c r="M57" i="3"/>
  <c r="M58" i="3"/>
  <c r="M59" i="3"/>
  <c r="M60" i="3"/>
  <c r="M61" i="3"/>
  <c r="M62" i="3"/>
  <c r="M63" i="3"/>
  <c r="M64" i="3"/>
  <c r="M65" i="3"/>
  <c r="M66" i="3"/>
  <c r="M67" i="3"/>
  <c r="M68" i="3"/>
  <c r="M69" i="3"/>
  <c r="M70" i="3"/>
  <c r="M71" i="3"/>
  <c r="M72" i="3"/>
  <c r="M73" i="3"/>
  <c r="M74" i="3"/>
  <c r="M75" i="3"/>
  <c r="M76" i="3"/>
  <c r="M77" i="3"/>
  <c r="M78" i="3"/>
  <c r="M79" i="3"/>
  <c r="M80" i="3"/>
  <c r="M81" i="3"/>
  <c r="M82" i="3"/>
  <c r="M83" i="3"/>
  <c r="M84" i="3"/>
  <c r="M85" i="3"/>
  <c r="M86" i="3"/>
  <c r="M87" i="3"/>
  <c r="M88" i="3"/>
  <c r="M89" i="3"/>
  <c r="M90" i="3"/>
  <c r="M91" i="3"/>
  <c r="M92" i="3"/>
  <c r="M93" i="3"/>
  <c r="M94" i="3"/>
  <c r="M95" i="3"/>
  <c r="M96" i="3"/>
  <c r="M97" i="3"/>
  <c r="M98" i="3"/>
  <c r="M99" i="3"/>
  <c r="M100" i="3"/>
  <c r="M101" i="3"/>
  <c r="M102" i="3"/>
  <c r="M103" i="3"/>
  <c r="M104" i="3"/>
  <c r="M105" i="3"/>
  <c r="M106" i="3"/>
  <c r="M107" i="3"/>
  <c r="M108" i="3"/>
  <c r="M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 i="3"/>
  <c r="E14" i="5"/>
  <c r="E13" i="5"/>
  <c r="E12" i="5"/>
  <c r="A49" i="2" l="1"/>
  <c r="A45" i="2"/>
  <c r="A41" i="2"/>
  <c r="A37" i="2"/>
  <c r="A33" i="2"/>
  <c r="A29" i="2"/>
  <c r="A25" i="2"/>
  <c r="A21" i="2"/>
  <c r="A17" i="2"/>
  <c r="A13" i="2"/>
  <c r="A9" i="2"/>
  <c r="I50" i="2" l="1"/>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8" i="2"/>
  <c r="I7" i="2"/>
  <c r="I6" i="2"/>
  <c r="I5" i="2"/>
  <c r="I4" i="2"/>
  <c r="I3" i="2"/>
  <c r="H11" i="3" l="1"/>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 i="3"/>
  <c r="A48" i="5"/>
  <c r="A47" i="5"/>
  <c r="A46" i="5"/>
  <c r="A45" i="5"/>
  <c r="A44" i="5"/>
  <c r="A43" i="5"/>
  <c r="A42" i="5"/>
  <c r="A41" i="5"/>
  <c r="A40" i="5"/>
  <c r="A39" i="5"/>
  <c r="A38" i="5"/>
  <c r="A37" i="5"/>
  <c r="A30" i="5"/>
  <c r="A29" i="5"/>
  <c r="A28" i="5"/>
  <c r="A27" i="5"/>
  <c r="A26" i="5"/>
  <c r="A25" i="5"/>
  <c r="A24" i="5"/>
  <c r="A23" i="5"/>
  <c r="A22" i="5"/>
  <c r="A21" i="5"/>
  <c r="A20" i="5"/>
  <c r="A19" i="5"/>
  <c r="I108"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 i="3"/>
  <c r="B5" i="3"/>
  <c r="B3" i="3"/>
  <c r="N10" i="3" l="1"/>
  <c r="N107" i="3"/>
  <c r="N91" i="3"/>
  <c r="N75" i="3"/>
  <c r="N59" i="3"/>
  <c r="N43" i="3"/>
  <c r="N27" i="3"/>
  <c r="N11" i="3"/>
  <c r="N94" i="3"/>
  <c r="N78" i="3"/>
  <c r="N62" i="3"/>
  <c r="N46" i="3"/>
  <c r="N30" i="3"/>
  <c r="N14" i="3"/>
  <c r="N93" i="3"/>
  <c r="N77" i="3"/>
  <c r="N61" i="3"/>
  <c r="N45" i="3"/>
  <c r="N29" i="3"/>
  <c r="N13" i="3"/>
  <c r="N96" i="3"/>
  <c r="N80" i="3"/>
  <c r="N64" i="3"/>
  <c r="N48" i="3"/>
  <c r="N32" i="3"/>
  <c r="N16" i="3"/>
  <c r="N103" i="3"/>
  <c r="N87" i="3"/>
  <c r="N71" i="3"/>
  <c r="N55" i="3"/>
  <c r="N39" i="3"/>
  <c r="N23" i="3"/>
  <c r="N106" i="3"/>
  <c r="N90" i="3"/>
  <c r="N74" i="3"/>
  <c r="N58" i="3"/>
  <c r="N42" i="3"/>
  <c r="N26" i="3"/>
  <c r="N105" i="3"/>
  <c r="N89" i="3"/>
  <c r="N73" i="3"/>
  <c r="N57" i="3"/>
  <c r="N41" i="3"/>
  <c r="N25" i="3"/>
  <c r="N108" i="3"/>
  <c r="N92" i="3"/>
  <c r="N76" i="3"/>
  <c r="N60" i="3"/>
  <c r="N44" i="3"/>
  <c r="N28" i="3"/>
  <c r="N12" i="3"/>
  <c r="N99" i="3"/>
  <c r="N83" i="3"/>
  <c r="N67" i="3"/>
  <c r="N51" i="3"/>
  <c r="N35" i="3"/>
  <c r="N19" i="3"/>
  <c r="N102" i="3"/>
  <c r="N86" i="3"/>
  <c r="N70" i="3"/>
  <c r="N54" i="3"/>
  <c r="N38" i="3"/>
  <c r="N22" i="3"/>
  <c r="N101" i="3"/>
  <c r="N85" i="3"/>
  <c r="N69" i="3"/>
  <c r="N53" i="3"/>
  <c r="N37" i="3"/>
  <c r="N21" i="3"/>
  <c r="N104" i="3"/>
  <c r="N88" i="3"/>
  <c r="N72" i="3"/>
  <c r="N56" i="3"/>
  <c r="N40" i="3"/>
  <c r="N24" i="3"/>
  <c r="N95" i="3"/>
  <c r="N79" i="3"/>
  <c r="N63" i="3"/>
  <c r="N47" i="3"/>
  <c r="N31" i="3"/>
  <c r="N15" i="3"/>
  <c r="N98" i="3"/>
  <c r="N82" i="3"/>
  <c r="N66" i="3"/>
  <c r="N50" i="3"/>
  <c r="N34" i="3"/>
  <c r="N18" i="3"/>
  <c r="N97" i="3"/>
  <c r="N81" i="3"/>
  <c r="N65" i="3"/>
  <c r="N49" i="3"/>
  <c r="N33" i="3"/>
  <c r="N17" i="3"/>
  <c r="N100" i="3"/>
  <c r="N84" i="3"/>
  <c r="N68" i="3"/>
  <c r="N52" i="3"/>
  <c r="N36" i="3"/>
  <c r="N20" i="3"/>
  <c r="O14" i="3"/>
  <c r="O18" i="3"/>
  <c r="O22" i="3"/>
  <c r="O26" i="3"/>
  <c r="O30" i="3"/>
  <c r="O34" i="3"/>
  <c r="O38" i="3"/>
  <c r="O42" i="3"/>
  <c r="O46" i="3"/>
  <c r="O50" i="3"/>
  <c r="O54" i="3"/>
  <c r="O58" i="3"/>
  <c r="O62" i="3"/>
  <c r="O66" i="3"/>
  <c r="O70" i="3"/>
  <c r="O74" i="3"/>
  <c r="O78" i="3"/>
  <c r="O82" i="3"/>
  <c r="O86" i="3"/>
  <c r="O90" i="3"/>
  <c r="O94" i="3"/>
  <c r="O98" i="3"/>
  <c r="O102" i="3"/>
  <c r="O106" i="3"/>
  <c r="O11" i="3"/>
  <c r="O15" i="3"/>
  <c r="O19" i="3"/>
  <c r="O23" i="3"/>
  <c r="O27" i="3"/>
  <c r="O31" i="3"/>
  <c r="O35" i="3"/>
  <c r="O39" i="3"/>
  <c r="O43" i="3"/>
  <c r="O47" i="3"/>
  <c r="O51" i="3"/>
  <c r="O55" i="3"/>
  <c r="O59" i="3"/>
  <c r="O63" i="3"/>
  <c r="O67" i="3"/>
  <c r="O71" i="3"/>
  <c r="O75" i="3"/>
  <c r="O79" i="3"/>
  <c r="O83" i="3"/>
  <c r="O87" i="3"/>
  <c r="O91" i="3"/>
  <c r="O95" i="3"/>
  <c r="O99" i="3"/>
  <c r="O103" i="3"/>
  <c r="O107" i="3"/>
  <c r="O12" i="3"/>
  <c r="O16" i="3"/>
  <c r="O20" i="3"/>
  <c r="O24" i="3"/>
  <c r="O28" i="3"/>
  <c r="O32" i="3"/>
  <c r="O36" i="3"/>
  <c r="O40" i="3"/>
  <c r="O44" i="3"/>
  <c r="O48" i="3"/>
  <c r="O52" i="3"/>
  <c r="O56" i="3"/>
  <c r="O60" i="3"/>
  <c r="O64" i="3"/>
  <c r="O68" i="3"/>
  <c r="O72" i="3"/>
  <c r="O76" i="3"/>
  <c r="O80" i="3"/>
  <c r="O84" i="3"/>
  <c r="O88" i="3"/>
  <c r="O92" i="3"/>
  <c r="O96" i="3"/>
  <c r="O100" i="3"/>
  <c r="O104" i="3"/>
  <c r="O108" i="3"/>
  <c r="O13" i="3"/>
  <c r="O17" i="3"/>
  <c r="O21" i="3"/>
  <c r="O25" i="3"/>
  <c r="O29" i="3"/>
  <c r="O33" i="3"/>
  <c r="O37" i="3"/>
  <c r="O41" i="3"/>
  <c r="O45" i="3"/>
  <c r="O49" i="3"/>
  <c r="O53" i="3"/>
  <c r="O61" i="3"/>
  <c r="O77" i="3"/>
  <c r="O93" i="3"/>
  <c r="O65" i="3"/>
  <c r="O69" i="3"/>
  <c r="O85" i="3"/>
  <c r="O101" i="3"/>
  <c r="O57" i="3"/>
  <c r="O73" i="3"/>
  <c r="O89" i="3"/>
  <c r="O105" i="3"/>
  <c r="O81" i="3"/>
  <c r="O97" i="3"/>
  <c r="O10" i="3"/>
  <c r="L12" i="3"/>
  <c r="E34" i="2"/>
  <c r="E7" i="2"/>
  <c r="E8" i="2"/>
  <c r="E9" i="2"/>
  <c r="E10" i="2"/>
  <c r="K10" i="3"/>
  <c r="E11" i="2"/>
  <c r="E3" i="2"/>
  <c r="E27" i="2"/>
  <c r="E31" i="2"/>
  <c r="E32" i="2"/>
  <c r="E5" i="2"/>
  <c r="E13" i="2"/>
  <c r="E29" i="2"/>
  <c r="E33" i="2"/>
  <c r="E4" i="2"/>
  <c r="E12" i="2"/>
  <c r="E28" i="2"/>
  <c r="E6" i="2"/>
  <c r="E14" i="2"/>
  <c r="E30" i="2"/>
  <c r="B7" i="3"/>
  <c r="C2" i="3" l="1"/>
  <c r="C6" i="3"/>
  <c r="E50" i="2"/>
  <c r="E46" i="2"/>
  <c r="E42" i="2"/>
  <c r="E38" i="2"/>
  <c r="E26" i="2"/>
  <c r="E22" i="2"/>
  <c r="E18" i="2"/>
  <c r="E44" i="2"/>
  <c r="E36" i="2"/>
  <c r="E20" i="2"/>
  <c r="E23" i="2"/>
  <c r="E15" i="2"/>
  <c r="E49" i="2"/>
  <c r="E45" i="2"/>
  <c r="E41" i="2"/>
  <c r="E37" i="2"/>
  <c r="E25" i="2"/>
  <c r="E21" i="2"/>
  <c r="E17" i="2"/>
  <c r="E48" i="2"/>
  <c r="E40" i="2"/>
  <c r="E24" i="2"/>
  <c r="E16" i="2"/>
  <c r="E47" i="2"/>
  <c r="E43" i="2"/>
  <c r="E39" i="2"/>
  <c r="E35" i="2"/>
  <c r="E19" i="2"/>
  <c r="G34" i="2" l="1"/>
  <c r="G32" i="2"/>
  <c r="G30" i="2"/>
  <c r="G28" i="2"/>
  <c r="G33" i="2"/>
  <c r="G31" i="2"/>
  <c r="G29" i="2"/>
  <c r="G27" i="2"/>
  <c r="G50" i="2"/>
  <c r="G46" i="2"/>
  <c r="G42" i="2"/>
  <c r="G38" i="2"/>
  <c r="G26" i="2"/>
  <c r="G22" i="2"/>
  <c r="G49" i="2"/>
  <c r="G45" i="2"/>
  <c r="G41" i="2"/>
  <c r="G37" i="2"/>
  <c r="G25" i="2"/>
  <c r="G21" i="2"/>
  <c r="G48" i="2"/>
  <c r="G44" i="2"/>
  <c r="G40" i="2"/>
  <c r="G36" i="2"/>
  <c r="G24" i="2"/>
  <c r="G20" i="2"/>
  <c r="G47" i="2"/>
  <c r="G43" i="2"/>
  <c r="G39" i="2"/>
  <c r="G35" i="2"/>
  <c r="G23" i="2"/>
  <c r="G19" i="2"/>
  <c r="H50" i="2"/>
  <c r="F50" i="2"/>
  <c r="H49" i="2"/>
  <c r="F49" i="2"/>
  <c r="H48" i="2"/>
  <c r="F48" i="2"/>
  <c r="H47" i="2"/>
  <c r="F47" i="2"/>
  <c r="H46" i="2"/>
  <c r="F46" i="2"/>
  <c r="H45" i="2"/>
  <c r="F45" i="2"/>
  <c r="H44" i="2"/>
  <c r="F44" i="2"/>
  <c r="H43" i="2"/>
  <c r="F43" i="2"/>
  <c r="H42" i="2"/>
  <c r="F42" i="2"/>
  <c r="H41" i="2"/>
  <c r="F41" i="2"/>
  <c r="H40" i="2"/>
  <c r="F40" i="2"/>
  <c r="H39" i="2"/>
  <c r="F39" i="2"/>
  <c r="H38" i="2"/>
  <c r="F38" i="2"/>
  <c r="H37" i="2"/>
  <c r="F37" i="2"/>
  <c r="H36" i="2"/>
  <c r="F36" i="2"/>
  <c r="H35" i="2"/>
  <c r="F35" i="2"/>
  <c r="L11" i="3"/>
  <c r="L13" i="3"/>
  <c r="L14" i="3"/>
  <c r="L15" i="3"/>
  <c r="L16" i="3"/>
  <c r="L17" i="3"/>
  <c r="L18" i="3"/>
  <c r="L19" i="3"/>
  <c r="L20" i="3"/>
  <c r="L21" i="3"/>
  <c r="L22" i="3"/>
  <c r="L23" i="3"/>
  <c r="L24" i="3"/>
  <c r="L25" i="3"/>
  <c r="L26" i="3"/>
  <c r="L27" i="3"/>
  <c r="L28" i="3"/>
  <c r="L29" i="3"/>
  <c r="L30" i="3"/>
  <c r="L31" i="3"/>
  <c r="L32" i="3"/>
  <c r="L33" i="3"/>
  <c r="L34" i="3"/>
  <c r="L35" i="3"/>
  <c r="L36" i="3"/>
  <c r="L37" i="3"/>
  <c r="L38" i="3"/>
  <c r="L39" i="3"/>
  <c r="L40" i="3"/>
  <c r="L41" i="3"/>
  <c r="L42" i="3"/>
  <c r="L43" i="3"/>
  <c r="L44" i="3"/>
  <c r="L45" i="3"/>
  <c r="L46" i="3"/>
  <c r="L47" i="3"/>
  <c r="L48" i="3"/>
  <c r="L49" i="3"/>
  <c r="L50" i="3"/>
  <c r="L51" i="3"/>
  <c r="L52" i="3"/>
  <c r="L53" i="3"/>
  <c r="L54" i="3"/>
  <c r="L55" i="3"/>
  <c r="L56" i="3"/>
  <c r="L57" i="3"/>
  <c r="L58" i="3"/>
  <c r="L59" i="3"/>
  <c r="L60" i="3"/>
  <c r="L61" i="3"/>
  <c r="L62" i="3"/>
  <c r="L63" i="3"/>
  <c r="L64" i="3"/>
  <c r="L65" i="3"/>
  <c r="L66" i="3"/>
  <c r="L67" i="3"/>
  <c r="L68" i="3"/>
  <c r="L69" i="3"/>
  <c r="L70" i="3"/>
  <c r="L71" i="3"/>
  <c r="L72" i="3"/>
  <c r="L73" i="3"/>
  <c r="L74" i="3"/>
  <c r="L75" i="3"/>
  <c r="L76" i="3"/>
  <c r="L77" i="3"/>
  <c r="L78" i="3"/>
  <c r="L79" i="3"/>
  <c r="L80" i="3"/>
  <c r="L81" i="3"/>
  <c r="L82" i="3"/>
  <c r="L83" i="3"/>
  <c r="L84" i="3"/>
  <c r="L85" i="3"/>
  <c r="L86" i="3"/>
  <c r="L87" i="3"/>
  <c r="L88" i="3"/>
  <c r="L89" i="3"/>
  <c r="L90" i="3"/>
  <c r="L91" i="3"/>
  <c r="L92" i="3"/>
  <c r="L93" i="3"/>
  <c r="L94" i="3"/>
  <c r="L95" i="3"/>
  <c r="L96" i="3"/>
  <c r="L97" i="3"/>
  <c r="L98" i="3"/>
  <c r="L99" i="3"/>
  <c r="L100" i="3"/>
  <c r="L101" i="3"/>
  <c r="L102" i="3"/>
  <c r="L103" i="3"/>
  <c r="L104" i="3"/>
  <c r="L105" i="3"/>
  <c r="L106" i="3"/>
  <c r="L107" i="3"/>
  <c r="L108" i="3"/>
  <c r="L10" i="3"/>
  <c r="K11" i="3" l="1"/>
  <c r="K105" i="3"/>
  <c r="K97" i="3"/>
  <c r="K89" i="3"/>
  <c r="K81" i="3"/>
  <c r="K73" i="3"/>
  <c r="K65" i="3"/>
  <c r="K61" i="3"/>
  <c r="K49" i="3"/>
  <c r="K41" i="3"/>
  <c r="K33" i="3"/>
  <c r="K25" i="3"/>
  <c r="K17" i="3"/>
  <c r="K104" i="3"/>
  <c r="K96" i="3"/>
  <c r="K88" i="3"/>
  <c r="K80" i="3"/>
  <c r="K72" i="3"/>
  <c r="K64" i="3"/>
  <c r="K56" i="3"/>
  <c r="K48" i="3"/>
  <c r="K40" i="3"/>
  <c r="K28" i="3"/>
  <c r="K107" i="3"/>
  <c r="K103" i="3"/>
  <c r="K95" i="3"/>
  <c r="K87" i="3"/>
  <c r="K79" i="3"/>
  <c r="K106" i="3"/>
  <c r="K102" i="3"/>
  <c r="K98" i="3"/>
  <c r="K94" i="3"/>
  <c r="K90" i="3"/>
  <c r="K86" i="3"/>
  <c r="K82" i="3"/>
  <c r="K78" i="3"/>
  <c r="K74" i="3"/>
  <c r="K70" i="3"/>
  <c r="K66" i="3"/>
  <c r="K62" i="3"/>
  <c r="K58" i="3"/>
  <c r="K54" i="3"/>
  <c r="K50" i="3"/>
  <c r="K46" i="3"/>
  <c r="K42" i="3"/>
  <c r="K38" i="3"/>
  <c r="K34" i="3"/>
  <c r="K30" i="3"/>
  <c r="K26" i="3"/>
  <c r="K22" i="3"/>
  <c r="K18" i="3"/>
  <c r="K14" i="3"/>
  <c r="K101" i="3"/>
  <c r="K93" i="3"/>
  <c r="K85" i="3"/>
  <c r="K77" i="3"/>
  <c r="K69" i="3"/>
  <c r="K57" i="3"/>
  <c r="K53" i="3"/>
  <c r="K45" i="3"/>
  <c r="K37" i="3"/>
  <c r="K29" i="3"/>
  <c r="K21" i="3"/>
  <c r="K13" i="3"/>
  <c r="K108" i="3"/>
  <c r="K100" i="3"/>
  <c r="K92" i="3"/>
  <c r="K84" i="3"/>
  <c r="K76" i="3"/>
  <c r="K68" i="3"/>
  <c r="K60" i="3"/>
  <c r="K52" i="3"/>
  <c r="K44" i="3"/>
  <c r="K36" i="3"/>
  <c r="K32" i="3"/>
  <c r="K24" i="3"/>
  <c r="K20" i="3"/>
  <c r="K16" i="3"/>
  <c r="K99" i="3"/>
  <c r="K91" i="3"/>
  <c r="K83" i="3"/>
  <c r="K75" i="3"/>
  <c r="K71" i="3"/>
  <c r="K67" i="3"/>
  <c r="K63" i="3"/>
  <c r="K59" i="3"/>
  <c r="K55" i="3"/>
  <c r="K51" i="3"/>
  <c r="K47" i="3"/>
  <c r="K43" i="3"/>
  <c r="K39" i="3"/>
  <c r="K35" i="3"/>
  <c r="K31" i="3"/>
  <c r="K27" i="3"/>
  <c r="K23" i="3"/>
  <c r="K19" i="3"/>
  <c r="K15" i="3"/>
  <c r="K12" i="3"/>
  <c r="F33" i="2" l="1"/>
  <c r="H33" i="2"/>
  <c r="F34" i="2"/>
  <c r="H34" i="2"/>
  <c r="F26" i="2"/>
  <c r="H26" i="2"/>
  <c r="F27" i="2"/>
  <c r="H27" i="2"/>
  <c r="F28" i="2"/>
  <c r="H28" i="2"/>
  <c r="F29" i="2"/>
  <c r="H29" i="2"/>
  <c r="F30" i="2"/>
  <c r="H30" i="2"/>
  <c r="F31" i="2"/>
  <c r="H31" i="2"/>
  <c r="F32" i="2"/>
  <c r="H32" i="2"/>
  <c r="AH6" i="2" l="1"/>
  <c r="AH5" i="2"/>
  <c r="AH4" i="2"/>
  <c r="H4" i="2"/>
  <c r="H5" i="2"/>
  <c r="H6" i="2"/>
  <c r="H7" i="2"/>
  <c r="H8" i="2"/>
  <c r="H9" i="2"/>
  <c r="H10" i="2"/>
  <c r="H11" i="2"/>
  <c r="H12" i="2"/>
  <c r="H13" i="2"/>
  <c r="H14" i="2"/>
  <c r="H15" i="2"/>
  <c r="H16" i="2"/>
  <c r="H17" i="2"/>
  <c r="H18" i="2"/>
  <c r="H19" i="2"/>
  <c r="H20" i="2"/>
  <c r="H21" i="2"/>
  <c r="H22" i="2"/>
  <c r="H23" i="2"/>
  <c r="H24" i="2"/>
  <c r="H25" i="2"/>
  <c r="H3" i="2"/>
  <c r="F4" i="2"/>
  <c r="F5" i="2"/>
  <c r="F6" i="2"/>
  <c r="F7" i="2"/>
  <c r="F8" i="2"/>
  <c r="F9" i="2"/>
  <c r="F10" i="2"/>
  <c r="F11" i="2"/>
  <c r="F12" i="2"/>
  <c r="F13" i="2"/>
  <c r="F14" i="2"/>
  <c r="F15" i="2"/>
  <c r="F16" i="2"/>
  <c r="F17" i="2"/>
  <c r="F18" i="2"/>
  <c r="F19" i="2"/>
  <c r="F20" i="2"/>
  <c r="F21" i="2"/>
  <c r="F22" i="2"/>
  <c r="F23" i="2"/>
  <c r="F24" i="2"/>
  <c r="F25" i="2"/>
  <c r="F3" i="2"/>
  <c r="B1" i="3" l="1"/>
  <c r="J43" i="2" l="1"/>
  <c r="J27" i="2"/>
  <c r="J11" i="2"/>
  <c r="J39" i="2"/>
  <c r="J23" i="2"/>
  <c r="J35" i="2"/>
  <c r="J19" i="2"/>
  <c r="J47" i="2"/>
  <c r="J31" i="2"/>
  <c r="J15" i="2"/>
  <c r="B6" i="3"/>
  <c r="B2" i="3"/>
  <c r="D42" i="2"/>
  <c r="D33" i="2"/>
  <c r="D29" i="2"/>
  <c r="D21" i="2"/>
  <c r="D14" i="2"/>
  <c r="D10" i="2"/>
  <c r="D6" i="2"/>
  <c r="D41" i="2"/>
  <c r="D20" i="2"/>
  <c r="D9" i="2"/>
  <c r="D26" i="2"/>
  <c r="D34" i="2"/>
  <c r="D30" i="2"/>
  <c r="D23" i="2"/>
  <c r="D15" i="2"/>
  <c r="D11" i="2"/>
  <c r="D7" i="2"/>
  <c r="D3" i="2"/>
  <c r="D32" i="2"/>
  <c r="D28" i="2"/>
  <c r="D13" i="2"/>
  <c r="D5" i="2"/>
  <c r="D35" i="2"/>
  <c r="D31" i="2"/>
  <c r="D27" i="2"/>
  <c r="D16" i="2"/>
  <c r="D12" i="2"/>
  <c r="D8" i="2"/>
  <c r="D4" i="2"/>
  <c r="D25" i="2"/>
  <c r="D47" i="2"/>
  <c r="D36" i="2"/>
  <c r="D44" i="2"/>
  <c r="D19" i="2"/>
  <c r="D39" i="2"/>
  <c r="D48" i="2"/>
  <c r="D46" i="2"/>
  <c r="D45" i="2"/>
  <c r="D22" i="2"/>
  <c r="D38" i="2"/>
  <c r="D49" i="2"/>
  <c r="D50" i="2"/>
  <c r="D17" i="2"/>
  <c r="D37" i="2"/>
  <c r="D40" i="2"/>
  <c r="D18" i="2"/>
  <c r="D43" i="2"/>
  <c r="D24" i="2"/>
  <c r="J3" i="2"/>
  <c r="J7" i="2"/>
  <c r="C45" i="2" l="1"/>
  <c r="C37" i="2"/>
  <c r="C48" i="2"/>
  <c r="C44" i="2"/>
  <c r="C36" i="2"/>
  <c r="C43" i="2"/>
  <c r="C39" i="2"/>
  <c r="C35" i="2"/>
  <c r="C50" i="2"/>
  <c r="C46" i="2"/>
  <c r="C38" i="2"/>
  <c r="J32" i="2"/>
  <c r="C49" i="2"/>
  <c r="C47" i="2"/>
  <c r="C40" i="2"/>
  <c r="C34" i="2"/>
  <c r="C30" i="2"/>
  <c r="G14" i="2"/>
  <c r="G10" i="2"/>
  <c r="G6" i="2"/>
  <c r="G12" i="2"/>
  <c r="G4" i="2"/>
  <c r="C4" i="2" s="1"/>
  <c r="C27" i="2"/>
  <c r="G7" i="2"/>
  <c r="C42" i="2"/>
  <c r="C41" i="2"/>
  <c r="C33" i="2"/>
  <c r="C29" i="2"/>
  <c r="G13" i="2"/>
  <c r="G9" i="2"/>
  <c r="G5" i="2"/>
  <c r="C32" i="2"/>
  <c r="G8" i="2"/>
  <c r="C31" i="2"/>
  <c r="G11" i="2"/>
  <c r="G3" i="2"/>
  <c r="C28" i="2"/>
  <c r="J36" i="2" l="1"/>
  <c r="G16" i="2"/>
  <c r="G15" i="2"/>
  <c r="C26" i="2"/>
  <c r="G18" i="2"/>
  <c r="G17" i="2"/>
  <c r="J4" i="2"/>
  <c r="C3" i="2"/>
  <c r="B3" i="2" s="1"/>
  <c r="J40" i="2" l="1"/>
  <c r="J8" i="2"/>
  <c r="C5" i="2"/>
  <c r="J44" i="2" l="1"/>
  <c r="J48" i="2"/>
  <c r="B26" i="2"/>
  <c r="B4" i="2"/>
  <c r="J12" i="2"/>
  <c r="C7" i="2"/>
  <c r="C6" i="2"/>
  <c r="B5" i="2"/>
  <c r="J16" i="2" l="1"/>
  <c r="B6" i="2"/>
  <c r="C9" i="2"/>
  <c r="B7" i="2"/>
  <c r="C8" i="2" l="1"/>
  <c r="B8" i="2" s="1"/>
  <c r="J20" i="2"/>
  <c r="C10" i="2"/>
  <c r="B9" i="2"/>
  <c r="C11" i="2"/>
  <c r="B29" i="2" l="1"/>
  <c r="J24" i="2"/>
  <c r="B10" i="2"/>
  <c r="C13" i="2"/>
  <c r="B11" i="2"/>
  <c r="B30" i="2" l="1"/>
  <c r="J28" i="2"/>
  <c r="B28" i="2" s="1"/>
  <c r="B27" i="2"/>
  <c r="C12" i="2"/>
  <c r="B12" i="2" s="1"/>
  <c r="C14" i="2"/>
  <c r="C15" i="2"/>
  <c r="B13" i="2"/>
  <c r="B31" i="2" l="1"/>
  <c r="B14" i="2"/>
  <c r="B15" i="2"/>
  <c r="B32" i="2" l="1"/>
  <c r="C18" i="2"/>
  <c r="B18" i="2" s="1"/>
  <c r="C17" i="2"/>
  <c r="B17" i="2" s="1"/>
  <c r="C16" i="2"/>
  <c r="B16" i="2" s="1"/>
  <c r="C19" i="2"/>
  <c r="B33" i="2" l="1"/>
  <c r="C20" i="2"/>
  <c r="B20" i="2" s="1"/>
  <c r="B19" i="2"/>
  <c r="B34" i="2" l="1"/>
  <c r="C22" i="2"/>
  <c r="B22" i="2" s="1"/>
  <c r="C21" i="2"/>
  <c r="B21" i="2" s="1"/>
  <c r="C23" i="2"/>
  <c r="B35" i="2" l="1"/>
  <c r="C24" i="2"/>
  <c r="B24" i="2" s="1"/>
  <c r="B23" i="2"/>
  <c r="B36" i="2" l="1"/>
  <c r="C25" i="2"/>
  <c r="B25" i="2" s="1"/>
  <c r="B37" i="2" l="1"/>
  <c r="B38" i="2" l="1"/>
  <c r="B39" i="2" l="1"/>
  <c r="B40" i="2" l="1"/>
  <c r="B41" i="2" l="1"/>
  <c r="B42" i="2" l="1"/>
  <c r="B43" i="2" l="1"/>
  <c r="B44" i="2" l="1"/>
  <c r="B45" i="2" l="1"/>
  <c r="B46" i="2" l="1"/>
  <c r="B47" i="2" l="1"/>
  <c r="B48" i="2" l="1"/>
  <c r="B50" i="2" l="1"/>
  <c r="B49" i="2"/>
</calcChain>
</file>

<file path=xl/comments1.xml><?xml version="1.0" encoding="utf-8"?>
<comments xmlns="http://schemas.openxmlformats.org/spreadsheetml/2006/main">
  <authors>
    <author>Author</author>
  </authors>
  <commentList>
    <comment ref="B2" authorId="0" shapeId="0">
      <text>
        <r>
          <rPr>
            <b/>
            <sz val="9"/>
            <color indexed="81"/>
            <rFont val="Tahoma"/>
            <family val="2"/>
          </rPr>
          <t>June-Sep</t>
        </r>
      </text>
    </comment>
    <comment ref="C2" authorId="0" shapeId="0">
      <text>
        <r>
          <rPr>
            <b/>
            <sz val="9"/>
            <color indexed="81"/>
            <rFont val="Tahoma"/>
            <family val="2"/>
          </rPr>
          <t>Oct-May</t>
        </r>
      </text>
    </comment>
    <comment ref="A5" authorId="0" shapeId="0">
      <text>
        <r>
          <rPr>
            <sz val="9"/>
            <color indexed="81"/>
            <rFont val="Tahoma"/>
            <family val="2"/>
          </rPr>
          <t>In the months of September, October, November, February, March, April, and May, energy efficiency resources are exempt from penalties associated with Pay for Performance and so require no FCM Delivery FA</t>
        </r>
      </text>
    </comment>
    <comment ref="C9" authorId="0" shapeId="0">
      <text>
        <r>
          <rPr>
            <sz val="9"/>
            <color indexed="81"/>
            <rFont val="Tahoma"/>
            <family val="2"/>
          </rPr>
          <t>Enter the number of MW that are designated Energy Efficiency for this resource if any</t>
        </r>
      </text>
    </comment>
    <comment ref="D9" authorId="0" shapeId="0">
      <text>
        <r>
          <rPr>
            <sz val="9"/>
            <color indexed="81"/>
            <rFont val="Tahoma"/>
            <family val="2"/>
          </rPr>
          <t>Clearing price $/kw-month</t>
        </r>
      </text>
    </comment>
    <comment ref="F9" authorId="0" shapeId="0">
      <text>
        <r>
          <rPr>
            <sz val="9"/>
            <color indexed="81"/>
            <rFont val="Tahoma"/>
            <charset val="1"/>
          </rPr>
          <t>The average performance of the resource during the capacity scarcity condition in Sep 2018.
It is calculated by taking actual capacity provided divided by the product of the resource's cso and the number of hours in the scarcity condition.  If resource is new, leave blank.</t>
        </r>
      </text>
    </comment>
    <comment ref="J9" authorId="0" shapeId="0">
      <text>
        <r>
          <rPr>
            <sz val="9"/>
            <color indexed="81"/>
            <rFont val="Tahoma"/>
            <family val="2"/>
          </rPr>
          <t>Average historical performance during capacity scarcity conditions in summer months (June-Sep)</t>
        </r>
      </text>
    </comment>
    <comment ref="K9" authorId="0" shapeId="0">
      <text>
        <r>
          <rPr>
            <sz val="9"/>
            <color indexed="81"/>
            <rFont val="Tahoma"/>
            <family val="2"/>
          </rPr>
          <t>The CWAP of the portfolio excludes the largest CSO resource</t>
        </r>
      </text>
    </comment>
    <comment ref="L9" authorId="0" shapeId="0">
      <text>
        <r>
          <rPr>
            <sz val="9"/>
            <color indexed="81"/>
            <rFont val="Tahoma"/>
            <family val="2"/>
          </rPr>
          <t>In Feb through May and Sep through Nov, energy efficiency resources are excluded from CWAP calculation</t>
        </r>
      </text>
    </comment>
    <comment ref="M9" authorId="0" shapeId="0">
      <text>
        <r>
          <rPr>
            <sz val="9"/>
            <color indexed="81"/>
            <rFont val="Tahoma"/>
            <family val="2"/>
          </rPr>
          <t>Average historical performance during capacity scarcity conditions.  Default values are based on resource type</t>
        </r>
      </text>
    </comment>
    <comment ref="N9" authorId="0" shapeId="0">
      <text>
        <r>
          <rPr>
            <sz val="9"/>
            <color indexed="81"/>
            <rFont val="Tahoma"/>
            <family val="2"/>
          </rPr>
          <t>The CWAP of the portfolio excludes the largest CSO resource</t>
        </r>
      </text>
    </comment>
    <comment ref="O9" authorId="0" shapeId="0">
      <text>
        <r>
          <rPr>
            <sz val="9"/>
            <color indexed="81"/>
            <rFont val="Tahoma"/>
            <family val="2"/>
          </rPr>
          <t>In Feb through May and Sep through Nov, energy efficiency resources are excluded from CWAP calculation</t>
        </r>
      </text>
    </comment>
  </commentList>
</comments>
</file>

<file path=xl/comments2.xml><?xml version="1.0" encoding="utf-8"?>
<comments xmlns="http://schemas.openxmlformats.org/spreadsheetml/2006/main">
  <authors>
    <author>Author</author>
  </authors>
  <commentList>
    <comment ref="J2" authorId="0" shapeId="0">
      <text>
        <r>
          <rPr>
            <sz val="9"/>
            <color indexed="81"/>
            <rFont val="Tahoma"/>
            <family val="2"/>
          </rPr>
          <t>Assuming there are no penalties for non-performance, MCC is the capacity revenue from the previous month and offsets the FA requirement until it is billed on the Monday after the tenth day of the month.</t>
        </r>
      </text>
    </comment>
    <comment ref="A4" authorId="0" shapeId="0">
      <text>
        <r>
          <rPr>
            <sz val="9"/>
            <color indexed="81"/>
            <rFont val="Tahoma"/>
            <family val="2"/>
          </rPr>
          <t>MCC goes to zero when bill is issued.  Actual billing dates may vary from those shown here.</t>
        </r>
      </text>
    </comment>
  </commentList>
</comments>
</file>

<file path=xl/comments3.xml><?xml version="1.0" encoding="utf-8"?>
<comments xmlns="http://schemas.openxmlformats.org/spreadsheetml/2006/main">
  <authors>
    <author>Author</author>
  </authors>
  <commentList>
    <comment ref="C2" authorId="0" shapeId="0">
      <text>
        <r>
          <rPr>
            <sz val="9"/>
            <color indexed="81"/>
            <rFont val="Tahoma"/>
            <family val="2"/>
          </rPr>
          <t>Until sufficient data become available to calculate the average performance of each resource during scarcity conditions, these default values will be used.</t>
        </r>
      </text>
    </comment>
  </commentList>
</comments>
</file>

<file path=xl/sharedStrings.xml><?xml version="1.0" encoding="utf-8"?>
<sst xmlns="http://schemas.openxmlformats.org/spreadsheetml/2006/main" count="92" uniqueCount="75">
  <si>
    <t>A Designated FCM Participant must include FCM Delivery Financial Assurance in the calculation of its FCM Financial Assurance Requirements under the ISO New England Financial Assurance Policy. If a Designated FCM Participant’s FCM Delivery Financial Assurance is negative, it will be used to reduce the Designated FCM Participant’s Financial Assurance Obligations (excluding FTR Financial Assurance Requirements), but not to less than zero. FCM Delivery Financial Assurance is calculated according to the following formula:</t>
  </si>
  <si>
    <t>FCM Delivery Financial Assurance = [DFAMW x PE x max[(ABR – CWAP), 0.1] x SF x DF] – MCC</t>
  </si>
  <si>
    <t>Capacity Prices</t>
  </si>
  <si>
    <t>Starting Price</t>
  </si>
  <si>
    <t>Clearing Price</t>
  </si>
  <si>
    <t>FCA9</t>
  </si>
  <si>
    <t>FCA10</t>
  </si>
  <si>
    <t>FCA11</t>
  </si>
  <si>
    <t>Difference</t>
  </si>
  <si>
    <t>ABR</t>
  </si>
  <si>
    <t>Balancing Ratio</t>
  </si>
  <si>
    <t>CWAP</t>
  </si>
  <si>
    <t>Other</t>
  </si>
  <si>
    <t>Scaling Factor</t>
  </si>
  <si>
    <t>SF</t>
  </si>
  <si>
    <t>Discount Factor</t>
  </si>
  <si>
    <t>DF</t>
  </si>
  <si>
    <t>FCA12</t>
  </si>
  <si>
    <t>FCA13</t>
  </si>
  <si>
    <t>FCA14</t>
  </si>
  <si>
    <t>FCA15</t>
  </si>
  <si>
    <t>DFAMW</t>
  </si>
  <si>
    <t>Max(ABR-CWAP),0.1</t>
  </si>
  <si>
    <t>FA Requirement</t>
  </si>
  <si>
    <t>CSO (MW)</t>
  </si>
  <si>
    <t>AP Default Value</t>
  </si>
  <si>
    <t>Gas-Fired Steam</t>
  </si>
  <si>
    <t>Combined-Cycle Combustion Turbine</t>
  </si>
  <si>
    <t>Simple-Cycle Combustion Turbine</t>
  </si>
  <si>
    <t>Coal-fired Steam</t>
  </si>
  <si>
    <t>Oil-Fired Steam</t>
  </si>
  <si>
    <t>Portfolio CWAP:</t>
  </si>
  <si>
    <t>Total CSO</t>
  </si>
  <si>
    <t>Month</t>
  </si>
  <si>
    <t>Avg Capacity Price</t>
  </si>
  <si>
    <t>FCA8</t>
  </si>
  <si>
    <t>Term</t>
  </si>
  <si>
    <t>Definition</t>
  </si>
  <si>
    <t>EE Exempt MW</t>
  </si>
  <si>
    <t>CWAP without EE</t>
  </si>
  <si>
    <t>Avg Cap $ (exc EE)</t>
  </si>
  <si>
    <t>AP (Average Performance)</t>
  </si>
  <si>
    <t>EE MW?</t>
  </si>
  <si>
    <t>CWAP w/o EE</t>
  </si>
  <si>
    <t>Non-exempt MW</t>
  </si>
  <si>
    <t>CWAP MW</t>
  </si>
  <si>
    <t>Resource ID</t>
  </si>
  <si>
    <t>Resource Type</t>
  </si>
  <si>
    <t>Resource Total CSO</t>
  </si>
  <si>
    <t>Resource Total w/o EE</t>
  </si>
  <si>
    <t>FCM Delivery Financial Assurance</t>
  </si>
  <si>
    <t>MCC (Monthly Capacity Charge)</t>
  </si>
  <si>
    <t>DFAMW (Delivery Financial Assurance MW)</t>
  </si>
  <si>
    <t>PE (Potential Exposure)</t>
  </si>
  <si>
    <t>ABR (Average Balancing Ratio)</t>
  </si>
  <si>
    <t xml:space="preserve">CWAP (Capacity Weighted Average Performance) </t>
  </si>
  <si>
    <t>SF (Scaling Factor)</t>
  </si>
  <si>
    <t>DF(Discount Factor)</t>
  </si>
  <si>
    <t>DFAMW equals the sum of the Capacity Supply Obligations of each resource in the Designated FCM Participant’s portfolio for the month, excluding the Capacity Supply Obligation of any resource that has reached the annual stop-loss as described in Section III.13.7.3.2 of Market Rule 1 and, during February through May and September through November, excluding the Capacity Supply Obligation associated with any Energy Efficiency measures.  If the calculated DFAMW is less than zero, then the DFAMW will be set equal to zero.</t>
  </si>
  <si>
    <t>PE is a monthly value calculated for the Designated FCM Participant’s portfolio as the difference between the Capacity Supply Obligation weighted average Forward Capacity Auction Starting Price and the Capacity Supply Obligation weighted average capacity price for the portfolio, excluding the Capacity Supply Obligation of any resource that has reached the annual stop-loss as described in Section III.13.7.3.2 of Market Rule 1 and, during February through May and September through November, excluding the Capacity Supply Obligation associated with any Energy Efficiency measures.  The Forward Capacity Auction Starting Price shall correspond to that used in the Forward Capacity Auction corresponding to the instant Capacity Commitment Period and the capacity prices shall correspond to those used in the calculation of the Capacity Base Payment for each Capacity Supply Obligation in the delivery month.</t>
  </si>
  <si>
    <t>ABR is the duration-weighted average of all of the system-wide Capacity Balancing Ratios calculated for each system-wide Capacity Scarcity Condition occurring in the relevant group of months in the three Capacity Commitment Periods immediately preceding the instant Capacity Commitment Period.  Three separate groups of months shall be used for this purpose: June through September, December through February, and all other months.  Until data exists to calculate this number, the temporary ABR for June through September shall equal 0.90; the temporary ABR for December through February shall equal 0.70; and the temporary ABR for all other months shall equal 0.60.  As actual data becomes available for each relevant group of months, calculated values for the relevant group of months will replace the temporary ABR values after the end of each group of months each year until all three years reflect actual data.</t>
  </si>
  <si>
    <t xml:space="preserve">CWAP is the capacity weighted average performance of the Designated FCM Participant’s portfolio.  For each resource in the Designated FCM Participant’s portfolio, excluding any resource that has reached the annual stop-loss as described in Section III.13.7.3.2 of Market Rule 1 and, during February through May and September through November, excluding the Capacity Supply Obligation associated with any Energy Efficiency measures, and excluding from the remaining resources the resource having the largest Capacity Supply Obligation in the month, the resource’s Capacity Supply Obligation shall be multiplied by the average performance of the resource.  The CWAP shall be the sum of all such values, divided by the Designated FCM Participant’s DFAMW.  If the DFAMW is zero, then the CWAP is set equal to one.  
</t>
  </si>
  <si>
    <t>DF is a multiplier that for the three Capacity Commitment Periods beginning June 1, 2018 and ending May 31, 2021, DF shall equal 0.75; and thereafter, DF shall equal 1.00.</t>
  </si>
  <si>
    <t>Capacity Price ($/kwm)</t>
  </si>
  <si>
    <t>PE ($/MW-month)</t>
  </si>
  <si>
    <t xml:space="preserve">FCM Delivery Financial Assurance = [DFAMW x PE x max[(ABR – CWAP), 0.1] x SF x DF] – MCC
</t>
  </si>
  <si>
    <t xml:space="preserve">MCC equals Monthly Capacity Payments incurred in previous months, but not yet billed.  The MCC is estimated from the first day of the current delivery month until it is replaced by the actual settled MCC value when settlement is complete. Once the payments are billed (on the first Monday after the tenth day of the month) it goes to zero.
</t>
  </si>
  <si>
    <t xml:space="preserve">AP is the Actual Capacity Provided during Capacity Scarcity Conditions divided by the product of the resource’s Capacity Supply Obligation and the equivalent hours of Capacity Scarcity Conditions in the relevant group of months in the three Capacity Commitment Periods immediately preceding the current Capacity Commitment Period. Three separate groups of months shall be used for this purpose: June through September, December through February, and all other months. Until data exists to calculate this number, the temporary average performance for gas-fired steam generating resources, combined-cycle combustion turbines and simple-cycle combustion turbines shall equal 0.90; the temporary average performance for coal-fired steam generating resources shall equal 0.85; the temporary average performance for oil-fired steam generating resources shall equal 0.65; the temporary average performance for all other resources shall equal 1.00. As actual data for each resource becomes available for each relevant group of months, calculated values for the relevant group of months will replace the temporary average performance values after the end of each group of months each year until all three years reflect actual data. The applicable temporary average performance value will be used for new and existing resources until actual performance data is available.
</t>
  </si>
  <si>
    <t xml:space="preserve">SF is a month-specific multiplier, as follows:
June 2.000;
December and July 1.732;
January and August 1.414;
All other months 1.000.
</t>
  </si>
  <si>
    <t>Realized AP</t>
  </si>
  <si>
    <t>AP (summer)</t>
  </si>
  <si>
    <t>AP (non-summer)</t>
  </si>
  <si>
    <t>June-September</t>
  </si>
  <si>
    <t>October-May</t>
  </si>
  <si>
    <t>MCC(from prior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</si>
</sst>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00"/>
    <numFmt numFmtId="165" formatCode="_(&quot;$&quot;* #,##0.000_);_(&quot;$&quot;* \(#,##0.000\);_(&quot;$&quot;* &quot;-&quot;??_);_(@_)"/>
    <numFmt numFmtId="166" formatCode="_(&quot;$&quot;* #,##0_);_(&quot;$&quot;* \(#,##0\);_(&quot;$&quot;* &quot;-&quot;??_);_(@_)"/>
    <numFmt numFmtId="167" formatCode="0.0000"/>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1"/>
      <color theme="3"/>
      <name val="Calibri"/>
      <family val="2"/>
      <scheme val="minor"/>
    </font>
    <font>
      <sz val="11"/>
      <color rgb="FF3F3F76"/>
      <name val="Calibri"/>
      <family val="2"/>
      <scheme val="minor"/>
    </font>
    <font>
      <b/>
      <sz val="11"/>
      <color rgb="FFFA7D00"/>
      <name val="Calibri"/>
      <family val="2"/>
      <scheme val="minor"/>
    </font>
    <font>
      <sz val="11"/>
      <name val="Calibri"/>
      <family val="2"/>
      <scheme val="minor"/>
    </font>
    <font>
      <b/>
      <u/>
      <sz val="14"/>
      <color theme="1"/>
      <name val="Calibri"/>
      <family val="2"/>
      <scheme val="minor"/>
    </font>
    <font>
      <sz val="11"/>
      <color theme="1"/>
      <name val="Times New Roman"/>
      <family val="1"/>
    </font>
    <font>
      <sz val="9"/>
      <color indexed="81"/>
      <name val="Tahoma"/>
      <family val="2"/>
    </font>
    <font>
      <b/>
      <sz val="9"/>
      <color indexed="81"/>
      <name val="Tahoma"/>
      <family val="2"/>
    </font>
    <font>
      <sz val="11"/>
      <color theme="1" tint="0.34998626667073579"/>
      <name val="Calibri"/>
      <family val="2"/>
      <scheme val="minor"/>
    </font>
    <font>
      <b/>
      <sz val="11"/>
      <name val="Calibri"/>
      <family val="2"/>
      <scheme val="minor"/>
    </font>
    <font>
      <b/>
      <sz val="11"/>
      <color theme="1" tint="0.34998626667073579"/>
      <name val="Calibri"/>
      <family val="2"/>
      <scheme val="minor"/>
    </font>
    <font>
      <sz val="9"/>
      <color indexed="81"/>
      <name val="Tahoma"/>
      <charset val="1"/>
    </font>
  </fonts>
  <fills count="9">
    <fill>
      <patternFill patternType="none"/>
    </fill>
    <fill>
      <patternFill patternType="gray125"/>
    </fill>
    <fill>
      <patternFill patternType="solid">
        <fgColor rgb="FFFFCC99"/>
      </patternFill>
    </fill>
    <fill>
      <patternFill patternType="solid">
        <fgColor rgb="FFF2F2F2"/>
      </patternFill>
    </fill>
    <fill>
      <patternFill patternType="solid">
        <fgColor rgb="FFFFFFCC"/>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0" tint="-0.14996795556505021"/>
        <bgColor indexed="64"/>
      </patternFill>
    </fill>
  </fills>
  <borders count="16">
    <border>
      <left/>
      <right/>
      <top/>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indexed="64"/>
      </left>
      <right/>
      <top/>
      <bottom style="medium">
        <color theme="4" tint="0.39997558519241921"/>
      </bottom>
      <diagonal/>
    </border>
    <border>
      <left/>
      <right/>
      <top/>
      <bottom style="thin">
        <color indexed="64"/>
      </bottom>
      <diagonal/>
    </border>
    <border>
      <left style="thin">
        <color rgb="FF7F7F7F"/>
      </left>
      <right style="thin">
        <color rgb="FF7F7F7F"/>
      </right>
      <top style="thin">
        <color rgb="FF7F7F7F"/>
      </top>
      <bottom style="medium">
        <color indexed="64"/>
      </bottom>
      <diagonal/>
    </border>
    <border>
      <left/>
      <right/>
      <top/>
      <bottom style="medium">
        <color indexed="64"/>
      </bottom>
      <diagonal/>
    </border>
    <border>
      <left style="thin">
        <color rgb="FF7F7F7F"/>
      </left>
      <right style="thin">
        <color rgb="FF7F7F7F"/>
      </right>
      <top style="thin">
        <color indexed="64"/>
      </top>
      <bottom style="thin">
        <color rgb="FF7F7F7F"/>
      </bottom>
      <diagonal/>
    </border>
    <border>
      <left/>
      <right style="thin">
        <color indexed="64"/>
      </right>
      <top/>
      <bottom/>
      <diagonal/>
    </border>
    <border>
      <left/>
      <right style="thin">
        <color indexed="64"/>
      </right>
      <top/>
      <bottom style="medium">
        <color theme="4" tint="0.39997558519241921"/>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right style="thin">
        <color rgb="FF7F7F7F"/>
      </right>
      <top style="thin">
        <color rgb="FF7F7F7F"/>
      </top>
      <bottom style="thin">
        <color rgb="FF7F7F7F"/>
      </bottom>
      <diagonal/>
    </border>
    <border>
      <left/>
      <right style="thin">
        <color indexed="64"/>
      </right>
      <top style="thin">
        <color rgb="FF7F7F7F"/>
      </top>
      <bottom style="medium">
        <color theme="4" tint="0.39997558519241921"/>
      </bottom>
      <diagonal/>
    </border>
    <border>
      <left style="thin">
        <color rgb="FFB2B2B2"/>
      </left>
      <right style="thin">
        <color rgb="FFB2B2B2"/>
      </right>
      <top/>
      <bottom style="thin">
        <color rgb="FFB2B2B2"/>
      </bottom>
      <diagonal/>
    </border>
  </borders>
  <cellStyleXfs count="7">
    <xf numFmtId="0" fontId="0" fillId="0" borderId="0"/>
    <xf numFmtId="44" fontId="1" fillId="0" borderId="0" applyFont="0" applyFill="0" applyBorder="0" applyAlignment="0" applyProtection="0"/>
    <xf numFmtId="43" fontId="1" fillId="0" borderId="0" applyFont="0" applyFill="0" applyBorder="0" applyAlignment="0" applyProtection="0"/>
    <xf numFmtId="0" fontId="3" fillId="0" borderId="1" applyNumberFormat="0" applyFill="0" applyAlignment="0" applyProtection="0"/>
    <xf numFmtId="0" fontId="4" fillId="2" borderId="2" applyNumberFormat="0" applyAlignment="0" applyProtection="0"/>
    <xf numFmtId="0" fontId="5" fillId="3" borderId="2" applyNumberFormat="0" applyAlignment="0" applyProtection="0"/>
    <xf numFmtId="0" fontId="1" fillId="4" borderId="3" applyNumberFormat="0" applyFont="0" applyAlignment="0" applyProtection="0"/>
  </cellStyleXfs>
  <cellXfs count="78">
    <xf numFmtId="0" fontId="0" fillId="0" borderId="0" xfId="0"/>
    <xf numFmtId="0" fontId="0" fillId="0" borderId="0" xfId="0" applyAlignment="1">
      <alignment wrapText="1"/>
    </xf>
    <xf numFmtId="0" fontId="0" fillId="0" borderId="0" xfId="0" applyAlignment="1">
      <alignment vertical="top"/>
    </xf>
    <xf numFmtId="0" fontId="0" fillId="0" borderId="0" xfId="0" applyAlignment="1">
      <alignment vertical="top" wrapText="1"/>
    </xf>
    <xf numFmtId="0" fontId="0" fillId="0" borderId="0" xfId="0"/>
    <xf numFmtId="44" fontId="0" fillId="0" borderId="0" xfId="1" applyFont="1" applyBorder="1"/>
    <xf numFmtId="44" fontId="0" fillId="0" borderId="0" xfId="0" applyNumberFormat="1"/>
    <xf numFmtId="0" fontId="2" fillId="0" borderId="0" xfId="0" applyFont="1"/>
    <xf numFmtId="0" fontId="2" fillId="0" borderId="0" xfId="0" applyFont="1" applyAlignment="1">
      <alignment vertical="top"/>
    </xf>
    <xf numFmtId="0" fontId="2" fillId="0" borderId="0" xfId="0" applyFont="1" applyAlignment="1">
      <alignment vertical="top" wrapText="1"/>
    </xf>
    <xf numFmtId="165" fontId="0" fillId="0" borderId="0" xfId="0" applyNumberFormat="1"/>
    <xf numFmtId="165" fontId="0" fillId="0" borderId="0" xfId="1" applyNumberFormat="1" applyFont="1" applyBorder="1"/>
    <xf numFmtId="0" fontId="2" fillId="0" borderId="0" xfId="0" applyFont="1" applyFill="1" applyAlignment="1">
      <alignment horizontal="right" vertical="top" wrapText="1"/>
    </xf>
    <xf numFmtId="14" fontId="0" fillId="0" borderId="0" xfId="0" applyNumberFormat="1" applyFill="1"/>
    <xf numFmtId="0" fontId="0" fillId="5" borderId="0" xfId="0" applyFill="1"/>
    <xf numFmtId="0" fontId="3" fillId="0" borderId="1" xfId="3" applyAlignment="1">
      <alignment horizontal="center"/>
    </xf>
    <xf numFmtId="0" fontId="4" fillId="2" borderId="2" xfId="4" applyAlignment="1">
      <alignment horizontal="center"/>
    </xf>
    <xf numFmtId="0" fontId="0" fillId="5" borderId="0" xfId="0" applyFill="1" applyAlignment="1">
      <alignment horizontal="center"/>
    </xf>
    <xf numFmtId="0" fontId="3" fillId="0" borderId="4" xfId="3" applyBorder="1" applyAlignment="1">
      <alignment horizontal="center"/>
    </xf>
    <xf numFmtId="14" fontId="0" fillId="0" borderId="5" xfId="0" applyNumberFormat="1" applyFill="1" applyBorder="1"/>
    <xf numFmtId="43" fontId="0" fillId="0" borderId="0" xfId="2" applyFont="1"/>
    <xf numFmtId="44" fontId="4" fillId="2" borderId="2" xfId="1" applyFont="1" applyFill="1" applyBorder="1" applyAlignment="1">
      <alignment horizontal="center"/>
    </xf>
    <xf numFmtId="43" fontId="0" fillId="0" borderId="0" xfId="0" applyNumberFormat="1"/>
    <xf numFmtId="14" fontId="6" fillId="0" borderId="0" xfId="0" applyNumberFormat="1" applyFont="1" applyFill="1"/>
    <xf numFmtId="14" fontId="6" fillId="0" borderId="5" xfId="0" applyNumberFormat="1" applyFont="1" applyFill="1" applyBorder="1"/>
    <xf numFmtId="165" fontId="4" fillId="2" borderId="2" xfId="1" applyNumberFormat="1" applyFont="1" applyFill="1" applyBorder="1" applyAlignment="1">
      <alignment horizontal="center"/>
    </xf>
    <xf numFmtId="0" fontId="2" fillId="0" borderId="0" xfId="0" applyFont="1" applyAlignment="1">
      <alignment wrapText="1"/>
    </xf>
    <xf numFmtId="0" fontId="7" fillId="0" borderId="0" xfId="0" applyFont="1"/>
    <xf numFmtId="0" fontId="7" fillId="0" borderId="0" xfId="0" applyFont="1" applyAlignment="1">
      <alignment wrapText="1"/>
    </xf>
    <xf numFmtId="0" fontId="8" fillId="0" borderId="0" xfId="0" applyFont="1" applyAlignment="1">
      <alignment wrapText="1"/>
    </xf>
    <xf numFmtId="14" fontId="0" fillId="0" borderId="5" xfId="0" applyNumberFormat="1" applyBorder="1"/>
    <xf numFmtId="2" fontId="0" fillId="0" borderId="0" xfId="0" applyNumberFormat="1"/>
    <xf numFmtId="43" fontId="0" fillId="0" borderId="0" xfId="2" applyNumberFormat="1" applyFont="1"/>
    <xf numFmtId="44" fontId="0" fillId="5" borderId="0" xfId="0" applyNumberFormat="1" applyFill="1"/>
    <xf numFmtId="164" fontId="11" fillId="6" borderId="0" xfId="0" applyNumberFormat="1" applyFont="1" applyFill="1"/>
    <xf numFmtId="0" fontId="11" fillId="6" borderId="0" xfId="0" applyFont="1" applyFill="1"/>
    <xf numFmtId="166" fontId="11" fillId="6" borderId="0" xfId="0" applyNumberFormat="1" applyFont="1" applyFill="1"/>
    <xf numFmtId="164" fontId="11" fillId="6" borderId="5" xfId="0" applyNumberFormat="1" applyFont="1" applyFill="1" applyBorder="1"/>
    <xf numFmtId="0" fontId="11" fillId="6" borderId="5" xfId="0" applyFont="1" applyFill="1" applyBorder="1"/>
    <xf numFmtId="166" fontId="11" fillId="6" borderId="5" xfId="0" applyNumberFormat="1" applyFont="1" applyFill="1" applyBorder="1"/>
    <xf numFmtId="0" fontId="2" fillId="6" borderId="7" xfId="0" applyFont="1" applyFill="1" applyBorder="1" applyAlignment="1">
      <alignment horizontal="center"/>
    </xf>
    <xf numFmtId="166" fontId="12" fillId="7" borderId="0" xfId="0" applyNumberFormat="1" applyFont="1" applyFill="1"/>
    <xf numFmtId="166" fontId="12" fillId="7" borderId="5" xfId="0" applyNumberFormat="1" applyFont="1" applyFill="1" applyBorder="1"/>
    <xf numFmtId="166" fontId="2" fillId="7" borderId="0" xfId="0" applyNumberFormat="1" applyFont="1" applyFill="1"/>
    <xf numFmtId="166" fontId="2" fillId="7" borderId="5" xfId="0" applyNumberFormat="1" applyFont="1" applyFill="1" applyBorder="1"/>
    <xf numFmtId="0" fontId="2" fillId="7" borderId="7" xfId="0" applyFont="1" applyFill="1" applyBorder="1" applyAlignment="1">
      <alignment horizontal="center"/>
    </xf>
    <xf numFmtId="0" fontId="2" fillId="5" borderId="7" xfId="0" applyFont="1" applyFill="1" applyBorder="1" applyAlignment="1">
      <alignment horizontal="left"/>
    </xf>
    <xf numFmtId="44" fontId="6" fillId="5" borderId="0" xfId="0" applyNumberFormat="1" applyFont="1" applyFill="1"/>
    <xf numFmtId="44" fontId="6" fillId="5" borderId="5" xfId="0" applyNumberFormat="1" applyFont="1" applyFill="1" applyBorder="1"/>
    <xf numFmtId="44" fontId="0" fillId="5" borderId="5" xfId="0" applyNumberFormat="1" applyFill="1" applyBorder="1"/>
    <xf numFmtId="0" fontId="0" fillId="0" borderId="0" xfId="0" applyFont="1" applyAlignment="1">
      <alignment wrapText="1"/>
    </xf>
    <xf numFmtId="0" fontId="3" fillId="0" borderId="1" xfId="3" applyBorder="1" applyAlignment="1">
      <alignment horizontal="center"/>
    </xf>
    <xf numFmtId="0" fontId="3" fillId="0" borderId="10" xfId="3" applyBorder="1" applyAlignment="1">
      <alignment horizontal="center"/>
    </xf>
    <xf numFmtId="0" fontId="0" fillId="5" borderId="9" xfId="0" applyFill="1" applyBorder="1"/>
    <xf numFmtId="0" fontId="4" fillId="2" borderId="2" xfId="4" applyAlignment="1">
      <alignment horizontal="left"/>
    </xf>
    <xf numFmtId="0" fontId="13" fillId="3" borderId="2" xfId="5" applyFont="1"/>
    <xf numFmtId="0" fontId="13" fillId="3" borderId="6" xfId="5" applyFont="1" applyBorder="1"/>
    <xf numFmtId="165" fontId="13" fillId="3" borderId="6" xfId="1" applyNumberFormat="1" applyFont="1" applyFill="1" applyBorder="1"/>
    <xf numFmtId="0" fontId="11" fillId="3" borderId="8" xfId="5" applyFont="1" applyBorder="1"/>
    <xf numFmtId="0" fontId="11" fillId="3" borderId="2" xfId="5" applyFont="1"/>
    <xf numFmtId="165" fontId="11" fillId="3" borderId="2" xfId="1" applyNumberFormat="1" applyFont="1" applyFill="1" applyBorder="1"/>
    <xf numFmtId="167" fontId="13" fillId="3" borderId="2" xfId="5" applyNumberFormat="1" applyFont="1"/>
    <xf numFmtId="0" fontId="3" fillId="0" borderId="14" xfId="3" applyBorder="1" applyAlignment="1">
      <alignment horizontal="center"/>
    </xf>
    <xf numFmtId="167" fontId="11" fillId="3" borderId="2" xfId="5" applyNumberFormat="1" applyFont="1"/>
    <xf numFmtId="0" fontId="6" fillId="0" borderId="0" xfId="0" applyFont="1"/>
    <xf numFmtId="0" fontId="12" fillId="0" borderId="7" xfId="3" applyFont="1" applyBorder="1"/>
    <xf numFmtId="0" fontId="6" fillId="8" borderId="15" xfId="6" applyFont="1" applyFill="1" applyBorder="1"/>
    <xf numFmtId="0" fontId="6" fillId="8" borderId="3" xfId="6" applyFont="1" applyFill="1"/>
    <xf numFmtId="0" fontId="6" fillId="8" borderId="3" xfId="6" applyFont="1" applyFill="1" applyBorder="1"/>
    <xf numFmtId="165" fontId="6" fillId="8" borderId="15" xfId="6" applyNumberFormat="1" applyFont="1" applyFill="1" applyBorder="1"/>
    <xf numFmtId="44" fontId="6" fillId="8" borderId="3" xfId="6" applyNumberFormat="1" applyFont="1" applyFill="1"/>
    <xf numFmtId="165" fontId="6" fillId="8" borderId="3" xfId="6" applyNumberFormat="1" applyFont="1" applyFill="1"/>
    <xf numFmtId="17" fontId="6" fillId="8" borderId="3" xfId="6" applyNumberFormat="1" applyFont="1" applyFill="1"/>
    <xf numFmtId="0" fontId="2" fillId="0" borderId="0" xfId="0" applyFont="1" applyAlignment="1">
      <alignment horizontal="left" vertical="center"/>
    </xf>
    <xf numFmtId="0" fontId="13" fillId="3" borderId="11" xfId="5" applyFont="1" applyBorder="1" applyAlignment="1">
      <alignment horizontal="center"/>
    </xf>
    <xf numFmtId="0" fontId="13" fillId="3" borderId="12" xfId="5" applyFont="1" applyBorder="1" applyAlignment="1">
      <alignment horizontal="center"/>
    </xf>
    <xf numFmtId="0" fontId="13" fillId="3" borderId="13" xfId="5" applyFont="1" applyBorder="1" applyAlignment="1">
      <alignment horizontal="center"/>
    </xf>
    <xf numFmtId="0" fontId="2" fillId="0" borderId="0" xfId="0" applyFont="1" applyAlignment="1">
      <alignment horizontal="center"/>
    </xf>
  </cellXfs>
  <cellStyles count="7">
    <cellStyle name="Calculation" xfId="5" builtinId="22"/>
    <cellStyle name="Comma" xfId="2" builtinId="3"/>
    <cellStyle name="Currency" xfId="1" builtinId="4"/>
    <cellStyle name="Heading 3" xfId="3" builtinId="18"/>
    <cellStyle name="Input" xfId="4" builtinId="20"/>
    <cellStyle name="Normal" xfId="0" builtinId="0"/>
    <cellStyle name="Note" xfId="6" builtinId="10"/>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lineChart>
        <c:grouping val="standard"/>
        <c:varyColors val="0"/>
        <c:ser>
          <c:idx val="0"/>
          <c:order val="0"/>
          <c:tx>
            <c:strRef>
              <c:f>'Delivery FA Calculation'!$B$2</c:f>
              <c:strCache>
                <c:ptCount val="1"/>
                <c:pt idx="0">
                  <c:v>FA Requirement</c:v>
                </c:pt>
              </c:strCache>
            </c:strRef>
          </c:tx>
          <c:cat>
            <c:numRef>
              <c:f>'Delivery FA Calculation'!$A$3:$A$50</c:f>
              <c:numCache>
                <c:formatCode>m/d/yyyy</c:formatCode>
                <c:ptCount val="48"/>
                <c:pt idx="0">
                  <c:v>43617</c:v>
                </c:pt>
                <c:pt idx="1">
                  <c:v>43633</c:v>
                </c:pt>
                <c:pt idx="2">
                  <c:v>43633</c:v>
                </c:pt>
                <c:pt idx="3">
                  <c:v>43646</c:v>
                </c:pt>
                <c:pt idx="4">
                  <c:v>43647</c:v>
                </c:pt>
                <c:pt idx="5">
                  <c:v>43661</c:v>
                </c:pt>
                <c:pt idx="6">
                  <c:v>43661</c:v>
                </c:pt>
                <c:pt idx="7">
                  <c:v>43677</c:v>
                </c:pt>
                <c:pt idx="8">
                  <c:v>43678</c:v>
                </c:pt>
                <c:pt idx="9">
                  <c:v>43689</c:v>
                </c:pt>
                <c:pt idx="10">
                  <c:v>43689</c:v>
                </c:pt>
                <c:pt idx="11">
                  <c:v>43708</c:v>
                </c:pt>
                <c:pt idx="12">
                  <c:v>43709</c:v>
                </c:pt>
                <c:pt idx="13">
                  <c:v>43724</c:v>
                </c:pt>
                <c:pt idx="14">
                  <c:v>43724</c:v>
                </c:pt>
                <c:pt idx="15">
                  <c:v>43738</c:v>
                </c:pt>
                <c:pt idx="16">
                  <c:v>43739</c:v>
                </c:pt>
                <c:pt idx="17">
                  <c:v>43752</c:v>
                </c:pt>
                <c:pt idx="18">
                  <c:v>43752</c:v>
                </c:pt>
                <c:pt idx="19">
                  <c:v>43769</c:v>
                </c:pt>
                <c:pt idx="20">
                  <c:v>43770</c:v>
                </c:pt>
                <c:pt idx="21">
                  <c:v>43780</c:v>
                </c:pt>
                <c:pt idx="22">
                  <c:v>43780</c:v>
                </c:pt>
                <c:pt idx="23">
                  <c:v>43799</c:v>
                </c:pt>
                <c:pt idx="24">
                  <c:v>43800</c:v>
                </c:pt>
                <c:pt idx="25">
                  <c:v>43815</c:v>
                </c:pt>
                <c:pt idx="26">
                  <c:v>43815</c:v>
                </c:pt>
                <c:pt idx="27">
                  <c:v>43830</c:v>
                </c:pt>
                <c:pt idx="28">
                  <c:v>43831</c:v>
                </c:pt>
                <c:pt idx="29">
                  <c:v>43843</c:v>
                </c:pt>
                <c:pt idx="30">
                  <c:v>43843</c:v>
                </c:pt>
                <c:pt idx="31">
                  <c:v>43861</c:v>
                </c:pt>
                <c:pt idx="32">
                  <c:v>43862</c:v>
                </c:pt>
                <c:pt idx="33">
                  <c:v>43878</c:v>
                </c:pt>
                <c:pt idx="34">
                  <c:v>43878</c:v>
                </c:pt>
                <c:pt idx="35">
                  <c:v>43889</c:v>
                </c:pt>
                <c:pt idx="36">
                  <c:v>43891</c:v>
                </c:pt>
                <c:pt idx="37">
                  <c:v>43906</c:v>
                </c:pt>
                <c:pt idx="38">
                  <c:v>43906</c:v>
                </c:pt>
                <c:pt idx="39">
                  <c:v>43921</c:v>
                </c:pt>
                <c:pt idx="40">
                  <c:v>43922</c:v>
                </c:pt>
                <c:pt idx="41">
                  <c:v>43934</c:v>
                </c:pt>
                <c:pt idx="42">
                  <c:v>43934</c:v>
                </c:pt>
                <c:pt idx="43">
                  <c:v>43951</c:v>
                </c:pt>
                <c:pt idx="44">
                  <c:v>43952</c:v>
                </c:pt>
                <c:pt idx="45">
                  <c:v>43962</c:v>
                </c:pt>
                <c:pt idx="46">
                  <c:v>43962</c:v>
                </c:pt>
                <c:pt idx="47">
                  <c:v>43982</c:v>
                </c:pt>
              </c:numCache>
            </c:numRef>
          </c:cat>
          <c:val>
            <c:numRef>
              <c:f>'Delivery FA Calculation'!$B$3:$B$50</c:f>
              <c:numCache>
                <c:formatCode>_("$"* #,##0_);_("$"* \(#,##0\);_("$"* "-"??_);_(@_)</c:formatCode>
                <c:ptCount val="48"/>
                <c:pt idx="0">
                  <c:v>-1657286.2750000001</c:v>
                </c:pt>
                <c:pt idx="1">
                  <c:v>-1657286.2750000001</c:v>
                </c:pt>
                <c:pt idx="2">
                  <c:v>969238.72499999986</c:v>
                </c:pt>
                <c:pt idx="3">
                  <c:v>969238.72499999986</c:v>
                </c:pt>
                <c:pt idx="4">
                  <c:v>-1093889.2641500002</c:v>
                </c:pt>
                <c:pt idx="5">
                  <c:v>-1093889.2641500002</c:v>
                </c:pt>
                <c:pt idx="6">
                  <c:v>839360.73584999994</c:v>
                </c:pt>
                <c:pt idx="7">
                  <c:v>839360.73584999994</c:v>
                </c:pt>
                <c:pt idx="8">
                  <c:v>-1247998.2214250001</c:v>
                </c:pt>
                <c:pt idx="9">
                  <c:v>-1247998.2214250001</c:v>
                </c:pt>
                <c:pt idx="10">
                  <c:v>685251.77857499989</c:v>
                </c:pt>
                <c:pt idx="11">
                  <c:v>685251.77857499989</c:v>
                </c:pt>
                <c:pt idx="12">
                  <c:v>-1393540.7150000001</c:v>
                </c:pt>
                <c:pt idx="13">
                  <c:v>-1393540.7150000001</c:v>
                </c:pt>
                <c:pt idx="14">
                  <c:v>539709.28499999992</c:v>
                </c:pt>
                <c:pt idx="15">
                  <c:v>539709.28499999992</c:v>
                </c:pt>
                <c:pt idx="16">
                  <c:v>-1756161.5</c:v>
                </c:pt>
                <c:pt idx="17">
                  <c:v>-1756161.5</c:v>
                </c:pt>
                <c:pt idx="18">
                  <c:v>177088.49999999997</c:v>
                </c:pt>
                <c:pt idx="19">
                  <c:v>177088.49999999997</c:v>
                </c:pt>
                <c:pt idx="20">
                  <c:v>-1756161.5</c:v>
                </c:pt>
                <c:pt idx="21">
                  <c:v>-1756161.5</c:v>
                </c:pt>
                <c:pt idx="22">
                  <c:v>177088.49999999997</c:v>
                </c:pt>
                <c:pt idx="23">
                  <c:v>177088.49999999997</c:v>
                </c:pt>
                <c:pt idx="24">
                  <c:v>-1566522.8149999999</c:v>
                </c:pt>
                <c:pt idx="25">
                  <c:v>-1566522.8149999999</c:v>
                </c:pt>
                <c:pt idx="26">
                  <c:v>366727.18499999994</c:v>
                </c:pt>
                <c:pt idx="27">
                  <c:v>366727.18499999994</c:v>
                </c:pt>
                <c:pt idx="28">
                  <c:v>-1633854.9425000001</c:v>
                </c:pt>
                <c:pt idx="29">
                  <c:v>-1633854.9425000001</c:v>
                </c:pt>
                <c:pt idx="30">
                  <c:v>299395.05749999994</c:v>
                </c:pt>
                <c:pt idx="31">
                  <c:v>299395.05749999994</c:v>
                </c:pt>
                <c:pt idx="32">
                  <c:v>-1694565.5</c:v>
                </c:pt>
                <c:pt idx="33">
                  <c:v>-1694565.5</c:v>
                </c:pt>
                <c:pt idx="34">
                  <c:v>238684.49999999994</c:v>
                </c:pt>
                <c:pt idx="35">
                  <c:v>238684.49999999994</c:v>
                </c:pt>
                <c:pt idx="36">
                  <c:v>-1756161.5</c:v>
                </c:pt>
                <c:pt idx="37">
                  <c:v>-1756161.5</c:v>
                </c:pt>
                <c:pt idx="38">
                  <c:v>177088.49999999997</c:v>
                </c:pt>
                <c:pt idx="39">
                  <c:v>177088.49999999997</c:v>
                </c:pt>
                <c:pt idx="40">
                  <c:v>-1756161.5</c:v>
                </c:pt>
                <c:pt idx="41">
                  <c:v>-1756161.5</c:v>
                </c:pt>
                <c:pt idx="42">
                  <c:v>177088.49999999997</c:v>
                </c:pt>
                <c:pt idx="43">
                  <c:v>177088.49999999997</c:v>
                </c:pt>
                <c:pt idx="44">
                  <c:v>-1756161.5</c:v>
                </c:pt>
                <c:pt idx="45">
                  <c:v>-1756161.5</c:v>
                </c:pt>
                <c:pt idx="46">
                  <c:v>177088.49999999997</c:v>
                </c:pt>
                <c:pt idx="47">
                  <c:v>177088.49999999997</c:v>
                </c:pt>
              </c:numCache>
            </c:numRef>
          </c:val>
          <c:smooth val="0"/>
          <c:extLst>
            <c:ext xmlns:c16="http://schemas.microsoft.com/office/drawing/2014/chart" uri="{C3380CC4-5D6E-409C-BE32-E72D297353CC}">
              <c16:uniqueId val="{00000000-BFB0-49BE-A1B2-10CD4C485319}"/>
            </c:ext>
          </c:extLst>
        </c:ser>
        <c:dLbls>
          <c:showLegendKey val="0"/>
          <c:showVal val="0"/>
          <c:showCatName val="0"/>
          <c:showSerName val="0"/>
          <c:showPercent val="0"/>
          <c:showBubbleSize val="0"/>
        </c:dLbls>
        <c:marker val="1"/>
        <c:smooth val="0"/>
        <c:axId val="73706112"/>
        <c:axId val="38674816"/>
      </c:lineChart>
      <c:dateAx>
        <c:axId val="73706112"/>
        <c:scaling>
          <c:orientation val="minMax"/>
        </c:scaling>
        <c:delete val="0"/>
        <c:axPos val="b"/>
        <c:numFmt formatCode="m/d/yyyy" sourceLinked="1"/>
        <c:majorTickMark val="cross"/>
        <c:minorTickMark val="none"/>
        <c:tickLblPos val="low"/>
        <c:spPr>
          <a:noFill/>
          <a:ln w="25400" cap="flat" cmpd="sng" algn="ctr">
            <a:solidFill>
              <a:schemeClr val="dk1">
                <a:shade val="95000"/>
                <a:satMod val="105000"/>
              </a:schemeClr>
            </a:solidFill>
            <a:prstDash val="solid"/>
          </a:ln>
          <a:effectLst/>
        </c:spPr>
        <c:txPr>
          <a:bodyPr/>
          <a:lstStyle/>
          <a:p>
            <a:pPr>
              <a:defRPr>
                <a:solidFill>
                  <a:schemeClr val="tx1"/>
                </a:solidFill>
                <a:latin typeface="+mn-lt"/>
                <a:ea typeface="+mn-ea"/>
                <a:cs typeface="+mn-cs"/>
              </a:defRPr>
            </a:pPr>
            <a:endParaRPr lang="en-US"/>
          </a:p>
        </c:txPr>
        <c:crossAx val="38674816"/>
        <c:crosses val="autoZero"/>
        <c:auto val="0"/>
        <c:lblOffset val="100"/>
        <c:baseTimeUnit val="days"/>
        <c:minorUnit val="15"/>
        <c:minorTimeUnit val="months"/>
      </c:dateAx>
      <c:valAx>
        <c:axId val="38674816"/>
        <c:scaling>
          <c:orientation val="minMax"/>
        </c:scaling>
        <c:delete val="0"/>
        <c:axPos val="l"/>
        <c:majorGridlines>
          <c:spPr>
            <a:ln w="9525">
              <a:solidFill>
                <a:sysClr val="windowText" lastClr="000000"/>
              </a:solidFill>
            </a:ln>
          </c:spPr>
        </c:majorGridlines>
        <c:numFmt formatCode="_(&quot;$&quot;* #,##0_);_(&quot;$&quot;* \(#,##0\);_(&quot;$&quot;* &quot;-&quot;??_);_(@_)" sourceLinked="1"/>
        <c:majorTickMark val="out"/>
        <c:minorTickMark val="none"/>
        <c:tickLblPos val="nextTo"/>
        <c:spPr>
          <a:noFill/>
          <a:ln w="25400" cap="flat" cmpd="sng" algn="ctr">
            <a:solidFill>
              <a:schemeClr val="dk1">
                <a:shade val="95000"/>
                <a:satMod val="105000"/>
              </a:schemeClr>
            </a:solidFill>
            <a:prstDash val="solid"/>
          </a:ln>
          <a:effectLst/>
        </c:spPr>
        <c:txPr>
          <a:bodyPr/>
          <a:lstStyle/>
          <a:p>
            <a:pPr>
              <a:defRPr>
                <a:solidFill>
                  <a:schemeClr val="tx1"/>
                </a:solidFill>
                <a:latin typeface="+mn-lt"/>
                <a:ea typeface="+mn-ea"/>
                <a:cs typeface="+mn-cs"/>
              </a:defRPr>
            </a:pPr>
            <a:endParaRPr lang="en-US"/>
          </a:p>
        </c:txPr>
        <c:crossAx val="73706112"/>
        <c:crosses val="autoZero"/>
        <c:crossBetween val="between"/>
      </c:valAx>
      <c:spPr>
        <a:ln w="187325">
          <a:noFill/>
        </a:ln>
      </c:spPr>
    </c:plotArea>
    <c:plotVisOnly val="1"/>
    <c:dispBlanksAs val="gap"/>
    <c:showDLblsOverMax val="0"/>
  </c:chart>
  <c:printSettings>
    <c:headerFooter/>
    <c:pageMargins b="0.75" l="0.7" r="0.7" t="0.75" header="0.3" footer="0.3"/>
    <c:pageSetup orientation="portrait"/>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30480</xdr:colOff>
      <xdr:row>0</xdr:row>
      <xdr:rowOff>45720</xdr:rowOff>
    </xdr:from>
    <xdr:to>
      <xdr:col>1</xdr:col>
      <xdr:colOff>15240</xdr:colOff>
      <xdr:row>29</xdr:row>
      <xdr:rowOff>144780</xdr:rowOff>
    </xdr:to>
    <xdr:sp macro="" textlink="">
      <xdr:nvSpPr>
        <xdr:cNvPr id="2" name="TextBox 1"/>
        <xdr:cNvSpPr txBox="1"/>
      </xdr:nvSpPr>
      <xdr:spPr>
        <a:xfrm>
          <a:off x="30480" y="45720"/>
          <a:ext cx="3787140" cy="54025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a:t>
          </a:r>
        </a:p>
        <a:p>
          <a:endParaRPr lang="en-US" sz="1100" b="1"/>
        </a:p>
        <a:p>
          <a:r>
            <a:rPr lang="en-US" sz="1100" b="0" i="0" u="none" strike="noStrike">
              <a:solidFill>
                <a:schemeClr val="dk1"/>
              </a:solidFill>
              <a:effectLst/>
              <a:latin typeface="+mn-lt"/>
              <a:ea typeface="+mn-ea"/>
              <a:cs typeface="+mn-cs"/>
            </a:rPr>
            <a:t>1. Enter the resources from your portfolio into the </a:t>
          </a:r>
          <a:r>
            <a:rPr lang="en-US" sz="1100" b="1" i="0" u="none" strike="noStrike">
              <a:solidFill>
                <a:schemeClr val="dk1"/>
              </a:solidFill>
              <a:effectLst/>
              <a:latin typeface="+mn-lt"/>
              <a:ea typeface="+mn-ea"/>
              <a:cs typeface="+mn-cs"/>
            </a:rPr>
            <a:t>Portfolio Set-up</a:t>
          </a:r>
          <a:r>
            <a:rPr lang="en-US" sz="1100" b="0" i="0" u="none" strike="noStrike">
              <a:solidFill>
                <a:schemeClr val="dk1"/>
              </a:solidFill>
              <a:effectLst/>
              <a:latin typeface="+mn-lt"/>
              <a:ea typeface="+mn-ea"/>
              <a:cs typeface="+mn-cs"/>
            </a:rPr>
            <a:t> Tab with their corresponding CSO MW and resource type. </a:t>
          </a:r>
        </a:p>
        <a:p>
          <a:endParaRPr lang="en-US" sz="1100" b="0" i="0" u="none" strike="noStrike">
            <a:solidFill>
              <a:schemeClr val="dk1"/>
            </a:solidFill>
            <a:effectLst/>
            <a:latin typeface="+mn-lt"/>
            <a:ea typeface="+mn-ea"/>
            <a:cs typeface="+mn-cs"/>
          </a:endParaRPr>
        </a:p>
        <a:p>
          <a:r>
            <a:rPr lang="en-US" sz="1100" b="0" i="0" u="none" strike="noStrike">
              <a:solidFill>
                <a:schemeClr val="accent6"/>
              </a:solidFill>
              <a:effectLst/>
              <a:latin typeface="+mn-lt"/>
              <a:ea typeface="+mn-ea"/>
              <a:cs typeface="+mn-cs"/>
            </a:rPr>
            <a:t>Orange</a:t>
          </a:r>
          <a:r>
            <a:rPr lang="en-US" sz="1100" b="0" i="0" u="none" strike="noStrike">
              <a:solidFill>
                <a:schemeClr val="dk1"/>
              </a:solidFill>
              <a:effectLst/>
              <a:latin typeface="+mn-lt"/>
              <a:ea typeface="+mn-ea"/>
              <a:cs typeface="+mn-cs"/>
            </a:rPr>
            <a:t> cells</a:t>
          </a:r>
          <a:r>
            <a:rPr lang="en-US" sz="1100" b="0" i="0" u="none" strike="noStrike" baseline="0">
              <a:solidFill>
                <a:schemeClr val="dk1"/>
              </a:solidFill>
              <a:effectLst/>
              <a:latin typeface="+mn-lt"/>
              <a:ea typeface="+mn-ea"/>
              <a:cs typeface="+mn-cs"/>
            </a:rPr>
            <a:t> are for user inputs.</a:t>
          </a:r>
          <a:endParaRPr lang="en-US" sz="1100" b="0" i="0" u="none" strike="noStrike">
            <a:solidFill>
              <a:schemeClr val="dk1"/>
            </a:solidFill>
            <a:effectLst/>
            <a:latin typeface="+mn-lt"/>
            <a:ea typeface="+mn-ea"/>
            <a:cs typeface="+mn-cs"/>
          </a:endParaRP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If any resources are designated Energy Efficiency (or part of their capacity is designated Energy Efficiency) enter the number of MW that are EE in column C. If there are mulitple different obligations for a resource with different prices, put each obligation on a separate line but keep the resource ID the same.</a:t>
          </a:r>
          <a:r>
            <a:rPr lang="en-US"/>
            <a:t> </a:t>
          </a:r>
        </a:p>
        <a:p>
          <a:endParaRPr lang="en-US" sz="1100" b="1"/>
        </a:p>
        <a:p>
          <a:r>
            <a:rPr lang="en-US" sz="1100" b="0" i="0" u="none" strike="noStrike">
              <a:solidFill>
                <a:schemeClr val="dk1"/>
              </a:solidFill>
              <a:effectLst/>
              <a:latin typeface="+mn-lt"/>
              <a:ea typeface="+mn-ea"/>
              <a:cs typeface="+mn-cs"/>
            </a:rPr>
            <a:t>2. Go to the </a:t>
          </a:r>
          <a:r>
            <a:rPr lang="en-US" sz="1100" b="1" i="0" u="none" strike="noStrike">
              <a:solidFill>
                <a:schemeClr val="dk1"/>
              </a:solidFill>
              <a:effectLst/>
              <a:latin typeface="+mn-lt"/>
              <a:ea typeface="+mn-ea"/>
              <a:cs typeface="+mn-cs"/>
            </a:rPr>
            <a:t>Delivery</a:t>
          </a:r>
          <a:r>
            <a:rPr lang="en-US" sz="1100" b="1" i="0" u="none" strike="noStrike" baseline="0">
              <a:solidFill>
                <a:schemeClr val="dk1"/>
              </a:solidFill>
              <a:effectLst/>
              <a:latin typeface="+mn-lt"/>
              <a:ea typeface="+mn-ea"/>
              <a:cs typeface="+mn-cs"/>
            </a:rPr>
            <a:t> FA </a:t>
          </a:r>
          <a:r>
            <a:rPr lang="en-US" sz="1100" b="1" i="0" u="none" strike="noStrike">
              <a:solidFill>
                <a:schemeClr val="dk1"/>
              </a:solidFill>
              <a:effectLst/>
              <a:latin typeface="+mn-lt"/>
              <a:ea typeface="+mn-ea"/>
              <a:cs typeface="+mn-cs"/>
            </a:rPr>
            <a:t>Calculation</a:t>
          </a:r>
          <a:r>
            <a:rPr lang="en-US" sz="1100" b="0" i="0" u="none" strike="noStrike">
              <a:solidFill>
                <a:schemeClr val="dk1"/>
              </a:solidFill>
              <a:effectLst/>
              <a:latin typeface="+mn-lt"/>
              <a:ea typeface="+mn-ea"/>
              <a:cs typeface="+mn-cs"/>
            </a:rPr>
            <a:t> tab to see the FA requirement for the portfolio</a:t>
          </a:r>
          <a:r>
            <a:rPr lang="en-US" sz="1100" b="0" i="0" u="none" strike="noStrike" baseline="0">
              <a:solidFill>
                <a:schemeClr val="dk1"/>
              </a:solidFill>
              <a:effectLst/>
              <a:latin typeface="+mn-lt"/>
              <a:ea typeface="+mn-ea"/>
              <a:cs typeface="+mn-cs"/>
            </a:rPr>
            <a:t> created in step 1.</a:t>
          </a:r>
          <a:r>
            <a:rPr lang="en-US"/>
            <a:t> The FA requirement is in column B and varies depending on the time of month.</a:t>
          </a:r>
        </a:p>
        <a:p>
          <a:endParaRPr lang="en-US" sz="1100" b="1"/>
        </a:p>
        <a:p>
          <a:r>
            <a:rPr lang="en-US" sz="1100" b="1"/>
            <a:t>Disclaimer:</a:t>
          </a: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This template is provided solely for informational purposes. It does not address all financial assurance possibilities and is not intended to provide, and should not be relied on for, a participant’s actual financial assurance obligations. In the case of any discrepancy between this template and the ISO New England Inc. Financial Assurance Policy, the Financial Assurance Policy shall govern.</a:t>
          </a:r>
          <a:endParaRPr lang="en-US">
            <a:effectLst/>
          </a:endParaRPr>
        </a:p>
        <a:p>
          <a:endParaRPr lang="en-US" sz="1100" b="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54427</xdr:colOff>
      <xdr:row>0</xdr:row>
      <xdr:rowOff>221796</xdr:rowOff>
    </xdr:from>
    <xdr:to>
      <xdr:col>8</xdr:col>
      <xdr:colOff>185056</xdr:colOff>
      <xdr:row>3</xdr:row>
      <xdr:rowOff>561976</xdr:rowOff>
    </xdr:to>
    <xdr:sp macro="" textlink="">
      <xdr:nvSpPr>
        <xdr:cNvPr id="2" name="TextBox 1"/>
        <xdr:cNvSpPr txBox="1"/>
      </xdr:nvSpPr>
      <xdr:spPr>
        <a:xfrm>
          <a:off x="17027977" y="221796"/>
          <a:ext cx="3788229" cy="1711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Disclaimer:</a:t>
          </a: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This template is provided solely for informational purposes. It does not address all financial assurance possibilities and is not intended to provide, and should not be relied on for, a participant’s actual financial assurance obligations. In the case of any discrepancy between this template and the ISO New England Inc. Financial Assurance Policy, the Financial Assurance Policy shall govern.</a:t>
          </a:r>
          <a:endParaRPr lang="en-US">
            <a:effectLst/>
          </a:endParaRPr>
        </a:p>
        <a:p>
          <a:endParaRPr lang="en-US" sz="1100" b="0"/>
        </a:p>
      </xdr:txBody>
    </xdr:sp>
    <xdr:clientData/>
  </xdr:twoCellAnchor>
  <xdr:twoCellAnchor>
    <xdr:from>
      <xdr:col>1</xdr:col>
      <xdr:colOff>5475514</xdr:colOff>
      <xdr:row>24</xdr:row>
      <xdr:rowOff>130629</xdr:rowOff>
    </xdr:from>
    <xdr:to>
      <xdr:col>1</xdr:col>
      <xdr:colOff>8264434</xdr:colOff>
      <xdr:row>26</xdr:row>
      <xdr:rowOff>11975</xdr:rowOff>
    </xdr:to>
    <xdr:sp macro="" textlink="">
      <xdr:nvSpPr>
        <xdr:cNvPr id="3" name="TextBox 2"/>
        <xdr:cNvSpPr txBox="1"/>
      </xdr:nvSpPr>
      <xdr:spPr>
        <a:xfrm>
          <a:off x="8915400" y="10047515"/>
          <a:ext cx="2788920" cy="2514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ISO-NE Public</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0</xdr:colOff>
      <xdr:row>8</xdr:row>
      <xdr:rowOff>175260</xdr:rowOff>
    </xdr:from>
    <xdr:to>
      <xdr:col>21</xdr:col>
      <xdr:colOff>518160</xdr:colOff>
      <xdr:row>44</xdr:row>
      <xdr:rowOff>15240</xdr:rowOff>
    </xdr:to>
    <xdr:sp macro="" textlink="">
      <xdr:nvSpPr>
        <xdr:cNvPr id="3" name="TextBox 2"/>
        <xdr:cNvSpPr txBox="1"/>
      </xdr:nvSpPr>
      <xdr:spPr>
        <a:xfrm>
          <a:off x="11879580" y="1645920"/>
          <a:ext cx="3802380" cy="6431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a:t>
          </a:r>
        </a:p>
        <a:p>
          <a:endParaRPr lang="en-US" sz="1100" b="1"/>
        </a:p>
        <a:p>
          <a:r>
            <a:rPr lang="en-US" sz="1100" b="0" i="0" u="none" strike="noStrike">
              <a:solidFill>
                <a:schemeClr val="dk1"/>
              </a:solidFill>
              <a:effectLst/>
              <a:latin typeface="+mn-lt"/>
              <a:ea typeface="+mn-ea"/>
              <a:cs typeface="+mn-cs"/>
            </a:rPr>
            <a:t>1. Enter the resources from your portfolio into the </a:t>
          </a:r>
          <a:r>
            <a:rPr lang="en-US" sz="1100" b="1" i="0" u="none" strike="noStrike">
              <a:solidFill>
                <a:schemeClr val="dk1"/>
              </a:solidFill>
              <a:effectLst/>
              <a:latin typeface="+mn-lt"/>
              <a:ea typeface="+mn-ea"/>
              <a:cs typeface="+mn-cs"/>
            </a:rPr>
            <a:t>Portfolio Set-up</a:t>
          </a:r>
          <a:r>
            <a:rPr lang="en-US" sz="1100" b="0" i="0" u="none" strike="noStrike">
              <a:solidFill>
                <a:schemeClr val="dk1"/>
              </a:solidFill>
              <a:effectLst/>
              <a:latin typeface="+mn-lt"/>
              <a:ea typeface="+mn-ea"/>
              <a:cs typeface="+mn-cs"/>
            </a:rPr>
            <a:t> Tab.</a:t>
          </a:r>
        </a:p>
        <a:p>
          <a:endParaRPr lang="en-US" sz="1100" b="0" i="0" u="none" strike="noStrike">
            <a:solidFill>
              <a:schemeClr val="dk1"/>
            </a:solidFill>
            <a:effectLst/>
            <a:latin typeface="+mn-lt"/>
            <a:ea typeface="+mn-ea"/>
            <a:cs typeface="+mn-cs"/>
          </a:endParaRPr>
        </a:p>
        <a:p>
          <a:r>
            <a:rPr lang="en-US" sz="1100" b="0" i="0" u="none" strike="noStrike">
              <a:solidFill>
                <a:schemeClr val="accent6"/>
              </a:solidFill>
              <a:effectLst/>
              <a:latin typeface="+mn-lt"/>
              <a:ea typeface="+mn-ea"/>
              <a:cs typeface="+mn-cs"/>
            </a:rPr>
            <a:t>Orange</a:t>
          </a:r>
          <a:r>
            <a:rPr lang="en-US" sz="1100" b="0" i="0" u="none" strike="noStrike">
              <a:solidFill>
                <a:schemeClr val="dk1"/>
              </a:solidFill>
              <a:effectLst/>
              <a:latin typeface="+mn-lt"/>
              <a:ea typeface="+mn-ea"/>
              <a:cs typeface="+mn-cs"/>
            </a:rPr>
            <a:t> cells</a:t>
          </a:r>
          <a:r>
            <a:rPr lang="en-US" sz="1100" b="0" i="0" u="none" strike="noStrike" baseline="0">
              <a:solidFill>
                <a:schemeClr val="dk1"/>
              </a:solidFill>
              <a:effectLst/>
              <a:latin typeface="+mn-lt"/>
              <a:ea typeface="+mn-ea"/>
              <a:cs typeface="+mn-cs"/>
            </a:rPr>
            <a:t> are for user inputs.</a:t>
          </a:r>
        </a:p>
        <a:p>
          <a:endParaRPr lang="en-US" sz="1100" b="0" i="0" u="none" strike="noStrike" baseline="0">
            <a:solidFill>
              <a:schemeClr val="dk1"/>
            </a:solidFill>
            <a:effectLst/>
            <a:latin typeface="+mn-lt"/>
            <a:ea typeface="+mn-ea"/>
            <a:cs typeface="+mn-cs"/>
          </a:endParaRPr>
        </a:p>
        <a:p>
          <a:r>
            <a:rPr lang="en-US" sz="1100" b="0" i="0" u="none" strike="noStrike" baseline="0">
              <a:solidFill>
                <a:schemeClr val="dk1"/>
              </a:solidFill>
              <a:effectLst/>
              <a:latin typeface="+mn-lt"/>
              <a:ea typeface="+mn-ea"/>
              <a:cs typeface="+mn-cs"/>
            </a:rPr>
            <a:t>Enter the Resource ID, CSO MW, and Capacity Price for the resource for the FCA10 auction.  Select the resource type from the drop-down list.</a:t>
          </a:r>
        </a:p>
        <a:p>
          <a:endParaRPr lang="en-US" sz="1100" b="0" i="0" u="none" strike="noStrike" baseline="0">
            <a:solidFill>
              <a:schemeClr val="dk1"/>
            </a:solidFill>
            <a:effectLst/>
            <a:latin typeface="+mn-lt"/>
            <a:ea typeface="+mn-ea"/>
            <a:cs typeface="+mn-cs"/>
          </a:endParaRPr>
        </a:p>
        <a:p>
          <a:r>
            <a:rPr lang="en-US" sz="1100" b="0" i="0" u="none" strike="noStrike" baseline="0">
              <a:solidFill>
                <a:schemeClr val="dk1"/>
              </a:solidFill>
              <a:effectLst/>
              <a:latin typeface="+mn-lt"/>
              <a:ea typeface="+mn-ea"/>
              <a:cs typeface="+mn-cs"/>
            </a:rPr>
            <a:t>Calculate the average performance of the resource during the capacity scarcity condition in Sep 2018 and enter it in column F.</a:t>
          </a:r>
        </a:p>
        <a:p>
          <a:pPr marL="0" marR="0" indent="0" defTabSz="914400" eaLnBrk="1" fontAlgn="auto" latinLnBrk="0" hangingPunct="1">
            <a:lnSpc>
              <a:spcPct val="100000"/>
            </a:lnSpc>
            <a:spcBef>
              <a:spcPts val="0"/>
            </a:spcBef>
            <a:spcAft>
              <a:spcPts val="0"/>
            </a:spcAft>
            <a:buClrTx/>
            <a:buSzTx/>
            <a:buFontTx/>
            <a:buNone/>
            <a:tabLst/>
            <a:defRPr/>
          </a:pPr>
          <a:endParaRPr lang="en-US" sz="1100" b="0" i="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If there are mulitple different obligations for a resource with different prices, put each obligation on a separate line but keep the resource ID the same.</a:t>
          </a:r>
          <a:r>
            <a:rPr lang="en-US" sz="1100">
              <a:solidFill>
                <a:schemeClr val="dk1"/>
              </a:solidFill>
              <a:effectLst/>
              <a:latin typeface="+mn-lt"/>
              <a:ea typeface="+mn-ea"/>
              <a:cs typeface="+mn-cs"/>
            </a:rPr>
            <a:t> </a:t>
          </a:r>
          <a:endParaRPr lang="en-US">
            <a:effectLst/>
          </a:endParaRP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If any resources are designated Energy Efficiency (or part of their capacity is designated Energy Efficiency) enter the number of MW that are EE in column C. </a:t>
          </a:r>
        </a:p>
        <a:p>
          <a:endParaRPr lang="en-US" sz="1100" b="1"/>
        </a:p>
        <a:p>
          <a:r>
            <a:rPr lang="en-US" sz="1100" b="0" i="0" u="none" strike="noStrike">
              <a:solidFill>
                <a:schemeClr val="dk1"/>
              </a:solidFill>
              <a:effectLst/>
              <a:latin typeface="+mn-lt"/>
              <a:ea typeface="+mn-ea"/>
              <a:cs typeface="+mn-cs"/>
            </a:rPr>
            <a:t>2. Go to the </a:t>
          </a:r>
          <a:r>
            <a:rPr lang="en-US" sz="1100" b="1" i="0" u="none" strike="noStrike">
              <a:solidFill>
                <a:schemeClr val="dk1"/>
              </a:solidFill>
              <a:effectLst/>
              <a:latin typeface="+mn-lt"/>
              <a:ea typeface="+mn-ea"/>
              <a:cs typeface="+mn-cs"/>
            </a:rPr>
            <a:t>Delivery</a:t>
          </a:r>
          <a:r>
            <a:rPr lang="en-US" sz="1100" b="1" i="0" u="none" strike="noStrike" baseline="0">
              <a:solidFill>
                <a:schemeClr val="dk1"/>
              </a:solidFill>
              <a:effectLst/>
              <a:latin typeface="+mn-lt"/>
              <a:ea typeface="+mn-ea"/>
              <a:cs typeface="+mn-cs"/>
            </a:rPr>
            <a:t> FA </a:t>
          </a:r>
          <a:r>
            <a:rPr lang="en-US" sz="1100" b="1" i="0" u="none" strike="noStrike">
              <a:solidFill>
                <a:schemeClr val="dk1"/>
              </a:solidFill>
              <a:effectLst/>
              <a:latin typeface="+mn-lt"/>
              <a:ea typeface="+mn-ea"/>
              <a:cs typeface="+mn-cs"/>
            </a:rPr>
            <a:t>Calculation</a:t>
          </a:r>
          <a:r>
            <a:rPr lang="en-US" sz="1100" b="0" i="0" u="none" strike="noStrike">
              <a:solidFill>
                <a:schemeClr val="dk1"/>
              </a:solidFill>
              <a:effectLst/>
              <a:latin typeface="+mn-lt"/>
              <a:ea typeface="+mn-ea"/>
              <a:cs typeface="+mn-cs"/>
            </a:rPr>
            <a:t> tab to see the FA requirement for the portfolio</a:t>
          </a:r>
          <a:r>
            <a:rPr lang="en-US" sz="1100" b="0" i="0" u="none" strike="noStrike" baseline="0">
              <a:solidFill>
                <a:schemeClr val="dk1"/>
              </a:solidFill>
              <a:effectLst/>
              <a:latin typeface="+mn-lt"/>
              <a:ea typeface="+mn-ea"/>
              <a:cs typeface="+mn-cs"/>
            </a:rPr>
            <a:t> created in step 1.</a:t>
          </a:r>
          <a:r>
            <a:rPr lang="en-US"/>
            <a:t> The FA requirement is in column B and varies depending on the time of month.</a:t>
          </a:r>
        </a:p>
        <a:p>
          <a:endParaRPr lang="en-US" sz="1100" b="1"/>
        </a:p>
        <a:p>
          <a:r>
            <a:rPr lang="en-US" sz="1100" b="1"/>
            <a:t>Disclaimer:</a:t>
          </a: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This template is provided solely for informational purposes. It does not address all financial assurance possibilities and is not intended to provide, and should not be relied on for, a participant’s actual financial assurance obligations. In the case of any discrepancy between this template and the ISO New England Inc. Financial Assurance Policy, the Financial Assurance Policy shall govern.</a:t>
          </a:r>
          <a:endParaRPr lang="en-US">
            <a:effectLst/>
          </a:endParaRPr>
        </a:p>
        <a:p>
          <a:endParaRPr lang="en-US" sz="1100" b="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42334</xdr:colOff>
      <xdr:row>1</xdr:row>
      <xdr:rowOff>88899</xdr:rowOff>
    </xdr:from>
    <xdr:to>
      <xdr:col>19</xdr:col>
      <xdr:colOff>594360</xdr:colOff>
      <xdr:row>33</xdr:row>
      <xdr:rowOff>76201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193737</xdr:colOff>
      <xdr:row>35</xdr:row>
      <xdr:rowOff>105086</xdr:rowOff>
    </xdr:from>
    <xdr:to>
      <xdr:col>15</xdr:col>
      <xdr:colOff>76199</xdr:colOff>
      <xdr:row>43</xdr:row>
      <xdr:rowOff>42333</xdr:rowOff>
    </xdr:to>
    <xdr:sp macro="" textlink="">
      <xdr:nvSpPr>
        <xdr:cNvPr id="3" name="TextBox 2"/>
        <xdr:cNvSpPr txBox="1"/>
      </xdr:nvSpPr>
      <xdr:spPr>
        <a:xfrm>
          <a:off x="9092204" y="6582086"/>
          <a:ext cx="4327462" cy="1427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Disclaimer:</a:t>
          </a: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This template is provided solely for informational purposes. It does not address all financial assurance possibilities and is not intended to provide, and should not be relied on for, a participant’s actual financial assurance obligations. In the case of any discrepancy between this template and the ISO New England Inc. Financial Assurance Policy, the Financial Assurance Policy shall govern.</a:t>
          </a:r>
          <a:endParaRPr lang="en-US">
            <a:effectLst/>
          </a:endParaRPr>
        </a:p>
        <a:p>
          <a:endParaRPr lang="en-US" sz="1100" b="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1</xdr:row>
      <xdr:rowOff>1</xdr:rowOff>
    </xdr:from>
    <xdr:to>
      <xdr:col>11</xdr:col>
      <xdr:colOff>168729</xdr:colOff>
      <xdr:row>9</xdr:row>
      <xdr:rowOff>144780</xdr:rowOff>
    </xdr:to>
    <xdr:sp macro="" textlink="">
      <xdr:nvSpPr>
        <xdr:cNvPr id="2" name="TextBox 1"/>
        <xdr:cNvSpPr txBox="1"/>
      </xdr:nvSpPr>
      <xdr:spPr>
        <a:xfrm>
          <a:off x="5173980" y="182881"/>
          <a:ext cx="3788229" cy="16154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Disclaimer:</a:t>
          </a: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This template is provided solely for informational purposes. It does not address all financial assurance possibilities and is not intended to provide, and should not be relied on for, a participant’s actual financial assurance obligations. In the case of any discrepancy between this template and the ISO New England Inc. Financial Assurance Policy, the Financial Assurance Policy shall govern.</a:t>
          </a:r>
          <a:endParaRPr lang="en-US">
            <a:effectLst/>
          </a:endParaRPr>
        </a:p>
        <a:p>
          <a:endParaRPr lang="en-US" sz="1100" b="0"/>
        </a:p>
      </xdr:txBody>
    </xdr:sp>
    <xdr:clientData/>
  </xdr:twoCellAnchor>
  <xdr:twoCellAnchor>
    <xdr:from>
      <xdr:col>0</xdr:col>
      <xdr:colOff>0</xdr:colOff>
      <xdr:row>70</xdr:row>
      <xdr:rowOff>0</xdr:rowOff>
    </xdr:from>
    <xdr:to>
      <xdr:col>2</xdr:col>
      <xdr:colOff>624840</xdr:colOff>
      <xdr:row>71</xdr:row>
      <xdr:rowOff>68580</xdr:rowOff>
    </xdr:to>
    <xdr:sp macro="" textlink="">
      <xdr:nvSpPr>
        <xdr:cNvPr id="3" name="TextBox 2"/>
        <xdr:cNvSpPr txBox="1"/>
      </xdr:nvSpPr>
      <xdr:spPr>
        <a:xfrm>
          <a:off x="0" y="12321540"/>
          <a:ext cx="2788920" cy="2514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ISO-NE Public</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2" sqref="A32"/>
    </sheetView>
  </sheetViews>
  <sheetFormatPr defaultRowHeight="14.4" x14ac:dyDescent="0.3"/>
  <cols>
    <col min="1" max="1" width="55.77734375" customWidth="1"/>
  </cols>
  <sheetData>
    <row r="1" spans="1:1" x14ac:dyDescent="0.3">
      <c r="A1" s="7"/>
    </row>
    <row r="2" spans="1:1" x14ac:dyDescent="0.3">
      <c r="A2" s="50"/>
    </row>
  </sheetData>
  <pageMargins left="0.7" right="0.7" top="0.75" bottom="0.75" header="0.3" footer="0.3"/>
  <pageSetup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65"/>
  <sheetViews>
    <sheetView zoomScale="80" zoomScaleNormal="80" workbookViewId="0">
      <selection activeCell="A16" sqref="A16"/>
    </sheetView>
  </sheetViews>
  <sheetFormatPr defaultRowHeight="14.4" x14ac:dyDescent="0.3"/>
  <cols>
    <col min="1" max="1" width="44.77734375" customWidth="1"/>
    <col min="2" max="2" width="175.109375" style="1" customWidth="1"/>
  </cols>
  <sheetData>
    <row r="1" spans="1:2" s="4" customFormat="1" ht="18" x14ac:dyDescent="0.35">
      <c r="A1" s="27" t="s">
        <v>36</v>
      </c>
      <c r="B1" s="28" t="s">
        <v>37</v>
      </c>
    </row>
    <row r="2" spans="1:2" ht="43.2" x14ac:dyDescent="0.3">
      <c r="A2" s="73" t="s">
        <v>50</v>
      </c>
      <c r="B2" s="1" t="s">
        <v>0</v>
      </c>
    </row>
    <row r="3" spans="1:2" ht="28.8" x14ac:dyDescent="0.3">
      <c r="A3" s="73"/>
      <c r="B3" s="26" t="s">
        <v>65</v>
      </c>
    </row>
    <row r="4" spans="1:2" ht="46.2" customHeight="1" x14ac:dyDescent="0.3">
      <c r="A4" s="8" t="s">
        <v>51</v>
      </c>
      <c r="B4" s="29" t="s">
        <v>66</v>
      </c>
    </row>
    <row r="5" spans="1:2" ht="64.8" customHeight="1" x14ac:dyDescent="0.3">
      <c r="A5" s="8" t="s">
        <v>52</v>
      </c>
      <c r="B5" s="3" t="s">
        <v>58</v>
      </c>
    </row>
    <row r="6" spans="1:2" ht="72" x14ac:dyDescent="0.3">
      <c r="A6" s="9" t="s">
        <v>53</v>
      </c>
      <c r="B6" s="3" t="s">
        <v>59</v>
      </c>
    </row>
    <row r="7" spans="1:2" ht="72" x14ac:dyDescent="0.3">
      <c r="A7" s="9" t="s">
        <v>54</v>
      </c>
      <c r="B7" s="3" t="s">
        <v>60</v>
      </c>
    </row>
    <row r="8" spans="1:2" ht="112.2" customHeight="1" x14ac:dyDescent="0.3">
      <c r="A8" s="9" t="s">
        <v>41</v>
      </c>
      <c r="B8" s="3" t="s">
        <v>67</v>
      </c>
    </row>
    <row r="9" spans="1:2" ht="72" x14ac:dyDescent="0.3">
      <c r="A9" s="9" t="s">
        <v>55</v>
      </c>
      <c r="B9" s="3" t="s">
        <v>61</v>
      </c>
    </row>
    <row r="10" spans="1:2" ht="77.400000000000006" customHeight="1" x14ac:dyDescent="0.3">
      <c r="A10" s="9" t="s">
        <v>56</v>
      </c>
      <c r="B10" s="3" t="s">
        <v>68</v>
      </c>
    </row>
    <row r="11" spans="1:2" x14ac:dyDescent="0.3">
      <c r="A11" s="9" t="s">
        <v>57</v>
      </c>
      <c r="B11" s="3" t="s">
        <v>62</v>
      </c>
    </row>
    <row r="12" spans="1:2" x14ac:dyDescent="0.3">
      <c r="A12" s="3"/>
      <c r="B12" s="3"/>
    </row>
    <row r="13" spans="1:2" x14ac:dyDescent="0.3">
      <c r="A13" s="3"/>
      <c r="B13" s="3"/>
    </row>
    <row r="14" spans="1:2" x14ac:dyDescent="0.3">
      <c r="A14" s="3"/>
      <c r="B14" s="3"/>
    </row>
    <row r="15" spans="1:2" x14ac:dyDescent="0.3">
      <c r="A15" s="3"/>
      <c r="B15" s="3"/>
    </row>
    <row r="16" spans="1:2" x14ac:dyDescent="0.3">
      <c r="A16" s="3"/>
      <c r="B16" s="3"/>
    </row>
    <row r="17" spans="1:2" x14ac:dyDescent="0.3">
      <c r="A17" s="3"/>
      <c r="B17" s="3"/>
    </row>
    <row r="18" spans="1:2" x14ac:dyDescent="0.3">
      <c r="A18" s="3"/>
      <c r="B18" s="3"/>
    </row>
    <row r="19" spans="1:2" x14ac:dyDescent="0.3">
      <c r="A19" s="3"/>
      <c r="B19" s="3"/>
    </row>
    <row r="20" spans="1:2" x14ac:dyDescent="0.3">
      <c r="A20" s="3"/>
      <c r="B20" s="3"/>
    </row>
    <row r="21" spans="1:2" x14ac:dyDescent="0.3">
      <c r="A21" s="3"/>
      <c r="B21" s="3"/>
    </row>
    <row r="22" spans="1:2" x14ac:dyDescent="0.3">
      <c r="A22" s="3"/>
      <c r="B22" s="3"/>
    </row>
    <row r="23" spans="1:2" x14ac:dyDescent="0.3">
      <c r="A23" s="3"/>
      <c r="B23" s="3"/>
    </row>
    <row r="24" spans="1:2" x14ac:dyDescent="0.3">
      <c r="A24" s="3"/>
      <c r="B24" s="3"/>
    </row>
    <row r="25" spans="1:2" x14ac:dyDescent="0.3">
      <c r="A25" s="3"/>
      <c r="B25" s="3"/>
    </row>
    <row r="26" spans="1:2" x14ac:dyDescent="0.3">
      <c r="A26" s="3"/>
      <c r="B26" s="3"/>
    </row>
    <row r="27" spans="1:2" x14ac:dyDescent="0.3">
      <c r="A27" s="3"/>
      <c r="B27" s="3"/>
    </row>
    <row r="28" spans="1:2" x14ac:dyDescent="0.3">
      <c r="A28" s="3"/>
      <c r="B28" s="3"/>
    </row>
    <row r="29" spans="1:2" x14ac:dyDescent="0.3">
      <c r="A29" s="3"/>
      <c r="B29" s="3"/>
    </row>
    <row r="30" spans="1:2" x14ac:dyDescent="0.3">
      <c r="A30" s="3"/>
      <c r="B30" s="3"/>
    </row>
    <row r="31" spans="1:2" x14ac:dyDescent="0.3">
      <c r="A31" s="3"/>
      <c r="B31" s="3"/>
    </row>
    <row r="32" spans="1:2" x14ac:dyDescent="0.3">
      <c r="A32" s="3"/>
      <c r="B32" s="3"/>
    </row>
    <row r="33" spans="1:2" x14ac:dyDescent="0.3">
      <c r="A33" s="3"/>
      <c r="B33" s="3"/>
    </row>
    <row r="34" spans="1:2" x14ac:dyDescent="0.3">
      <c r="A34" s="3"/>
      <c r="B34" s="3"/>
    </row>
    <row r="35" spans="1:2" x14ac:dyDescent="0.3">
      <c r="A35" s="3"/>
      <c r="B35" s="3"/>
    </row>
    <row r="36" spans="1:2" x14ac:dyDescent="0.3">
      <c r="A36" s="3"/>
      <c r="B36" s="3"/>
    </row>
    <row r="37" spans="1:2" x14ac:dyDescent="0.3">
      <c r="A37" s="2"/>
      <c r="B37" s="3"/>
    </row>
    <row r="38" spans="1:2" x14ac:dyDescent="0.3">
      <c r="A38" s="2"/>
      <c r="B38" s="3"/>
    </row>
    <row r="39" spans="1:2" x14ac:dyDescent="0.3">
      <c r="A39" s="2"/>
      <c r="B39" s="3"/>
    </row>
    <row r="40" spans="1:2" x14ac:dyDescent="0.3">
      <c r="A40" s="2"/>
      <c r="B40" s="3"/>
    </row>
    <row r="41" spans="1:2" x14ac:dyDescent="0.3">
      <c r="A41" s="2"/>
      <c r="B41" s="3"/>
    </row>
    <row r="42" spans="1:2" x14ac:dyDescent="0.3">
      <c r="A42" s="2"/>
      <c r="B42" s="3"/>
    </row>
    <row r="43" spans="1:2" x14ac:dyDescent="0.3">
      <c r="A43" s="2"/>
      <c r="B43" s="3"/>
    </row>
    <row r="44" spans="1:2" x14ac:dyDescent="0.3">
      <c r="A44" s="2"/>
      <c r="B44" s="3"/>
    </row>
    <row r="45" spans="1:2" x14ac:dyDescent="0.3">
      <c r="A45" s="2"/>
      <c r="B45" s="3"/>
    </row>
    <row r="46" spans="1:2" x14ac:dyDescent="0.3">
      <c r="A46" s="2"/>
      <c r="B46" s="3"/>
    </row>
    <row r="47" spans="1:2" x14ac:dyDescent="0.3">
      <c r="A47" s="2"/>
      <c r="B47" s="3"/>
    </row>
    <row r="48" spans="1:2" x14ac:dyDescent="0.3">
      <c r="A48" s="2"/>
      <c r="B48" s="3"/>
    </row>
    <row r="49" spans="1:2" x14ac:dyDescent="0.3">
      <c r="A49" s="2"/>
      <c r="B49" s="3"/>
    </row>
    <row r="50" spans="1:2" x14ac:dyDescent="0.3">
      <c r="A50" s="2"/>
      <c r="B50" s="3"/>
    </row>
    <row r="51" spans="1:2" x14ac:dyDescent="0.3">
      <c r="A51" s="2"/>
      <c r="B51" s="3"/>
    </row>
    <row r="52" spans="1:2" x14ac:dyDescent="0.3">
      <c r="A52" s="2"/>
      <c r="B52" s="3"/>
    </row>
    <row r="53" spans="1:2" x14ac:dyDescent="0.3">
      <c r="A53" s="2"/>
      <c r="B53" s="3"/>
    </row>
    <row r="54" spans="1:2" x14ac:dyDescent="0.3">
      <c r="A54" s="2"/>
      <c r="B54" s="3"/>
    </row>
    <row r="55" spans="1:2" x14ac:dyDescent="0.3">
      <c r="A55" s="2"/>
      <c r="B55" s="3"/>
    </row>
    <row r="56" spans="1:2" x14ac:dyDescent="0.3">
      <c r="A56" s="2"/>
      <c r="B56" s="3"/>
    </row>
    <row r="57" spans="1:2" x14ac:dyDescent="0.3">
      <c r="A57" s="2"/>
      <c r="B57" s="3"/>
    </row>
    <row r="58" spans="1:2" x14ac:dyDescent="0.3">
      <c r="A58" s="2"/>
      <c r="B58" s="3"/>
    </row>
    <row r="59" spans="1:2" x14ac:dyDescent="0.3">
      <c r="A59" s="2"/>
      <c r="B59" s="3"/>
    </row>
    <row r="60" spans="1:2" x14ac:dyDescent="0.3">
      <c r="A60" s="2"/>
      <c r="B60" s="3"/>
    </row>
    <row r="61" spans="1:2" x14ac:dyDescent="0.3">
      <c r="A61" s="2"/>
      <c r="B61" s="3"/>
    </row>
    <row r="62" spans="1:2" x14ac:dyDescent="0.3">
      <c r="A62" s="2"/>
      <c r="B62" s="3"/>
    </row>
    <row r="63" spans="1:2" x14ac:dyDescent="0.3">
      <c r="A63" s="2"/>
      <c r="B63" s="3"/>
    </row>
    <row r="64" spans="1:2" x14ac:dyDescent="0.3">
      <c r="A64" s="2"/>
      <c r="B64" s="3"/>
    </row>
    <row r="65" spans="1:2" x14ac:dyDescent="0.3">
      <c r="A65" s="2"/>
      <c r="B65" s="3"/>
    </row>
  </sheetData>
  <mergeCells count="1">
    <mergeCell ref="A2:A3"/>
  </mergeCells>
  <pageMargins left="0.7" right="0.29483333333333334" top="0.75" bottom="0.75" header="0.3" footer="0.3"/>
  <pageSetup scale="58"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6" tint="0.79998168889431442"/>
    <pageSetUpPr fitToPage="1"/>
  </sheetPr>
  <dimension ref="A1:R108"/>
  <sheetViews>
    <sheetView tabSelected="1" topLeftCell="A19" zoomScaleNormal="100" workbookViewId="0">
      <selection activeCell="S50" sqref="S50"/>
    </sheetView>
  </sheetViews>
  <sheetFormatPr defaultRowHeight="14.4" outlineLevelCol="1" x14ac:dyDescent="0.3"/>
  <cols>
    <col min="1" max="1" width="17.44140625" customWidth="1"/>
    <col min="2" max="2" width="12.33203125" customWidth="1"/>
    <col min="3" max="3" width="12.33203125" style="4" customWidth="1"/>
    <col min="4" max="4" width="20.77734375" style="4" bestFit="1" customWidth="1"/>
    <col min="5" max="5" width="13.33203125" bestFit="1" customWidth="1"/>
    <col min="6" max="6" width="10.6640625" style="4" bestFit="1" customWidth="1"/>
    <col min="7" max="7" width="17.44140625" style="4" hidden="1" customWidth="1" outlineLevel="1"/>
    <col min="8" max="8" width="19.88671875" style="4" hidden="1" customWidth="1" outlineLevel="1"/>
    <col min="9" max="9" width="15.6640625" style="4" hidden="1" customWidth="1" outlineLevel="1"/>
    <col min="10" max="10" width="12" bestFit="1" customWidth="1" collapsed="1"/>
    <col min="11" max="11" width="10.21875" customWidth="1"/>
    <col min="12" max="12" width="12.5546875" style="4" bestFit="1" customWidth="1"/>
    <col min="13" max="13" width="16.109375" style="4" bestFit="1" customWidth="1"/>
    <col min="14" max="15" width="12.5546875" style="4" customWidth="1"/>
    <col min="16" max="16" width="10.33203125" customWidth="1"/>
    <col min="17" max="17" width="11.109375" bestFit="1" customWidth="1"/>
    <col min="18" max="18" width="10.109375" bestFit="1" customWidth="1"/>
    <col min="23" max="23" width="32.21875" bestFit="1" customWidth="1"/>
    <col min="24" max="24" width="14.6640625" bestFit="1" customWidth="1"/>
  </cols>
  <sheetData>
    <row r="1" spans="1:18" s="4" customFormat="1" x14ac:dyDescent="0.3">
      <c r="A1" s="55" t="s">
        <v>32</v>
      </c>
      <c r="B1" s="55">
        <f>SUM(B10:B108)</f>
        <v>275</v>
      </c>
    </row>
    <row r="2" spans="1:18" s="4" customFormat="1" x14ac:dyDescent="0.3">
      <c r="A2" s="55" t="s">
        <v>31</v>
      </c>
      <c r="B2" s="61">
        <f>IF(SUM(B10:B108) = 0,1,SUM(K10:K108)/SUM(B10:B108))</f>
        <v>0.61212121212121207</v>
      </c>
      <c r="C2" s="61">
        <f>IF(SUM(B10:B108) = 0,1,SUM(N10:N108)/SUM(B10:B108))</f>
        <v>0.63636363636363635</v>
      </c>
    </row>
    <row r="3" spans="1:18" s="4" customFormat="1" ht="15" thickBot="1" x14ac:dyDescent="0.35">
      <c r="A3" s="56" t="s">
        <v>34</v>
      </c>
      <c r="B3" s="57">
        <f>IFERROR(SUMPRODUCT(B10:B108,D10:D108)/SUM(B10:B108),0)</f>
        <v>7.03</v>
      </c>
    </row>
    <row r="4" spans="1:18" s="4" customFormat="1" x14ac:dyDescent="0.3"/>
    <row r="5" spans="1:18" s="4" customFormat="1" x14ac:dyDescent="0.3">
      <c r="A5" s="58" t="s">
        <v>38</v>
      </c>
      <c r="B5" s="58">
        <f>SUM(C10:C108)</f>
        <v>45</v>
      </c>
    </row>
    <row r="6" spans="1:18" s="4" customFormat="1" x14ac:dyDescent="0.3">
      <c r="A6" s="59" t="s">
        <v>39</v>
      </c>
      <c r="B6" s="63">
        <f>SUM(L10:L108)/(SUM(B10:B108)-SUM(C10:C108))</f>
        <v>0.53623188405797095</v>
      </c>
      <c r="C6" s="63">
        <f>SUM(O10:O108)/(SUM(B10:B108)-SUM(C10:C108))</f>
        <v>0.56521739130434778</v>
      </c>
    </row>
    <row r="7" spans="1:18" s="4" customFormat="1" x14ac:dyDescent="0.3">
      <c r="A7" s="59" t="s">
        <v>40</v>
      </c>
      <c r="B7" s="60">
        <f>SUMPRODUCT(D10:D108,I10:I108)/SUM(I10:I108)</f>
        <v>7.03</v>
      </c>
    </row>
    <row r="8" spans="1:18" s="4" customFormat="1" x14ac:dyDescent="0.3">
      <c r="J8" s="74" t="s">
        <v>72</v>
      </c>
      <c r="K8" s="75"/>
      <c r="L8" s="76"/>
      <c r="M8" s="74" t="s">
        <v>73</v>
      </c>
      <c r="N8" s="75"/>
      <c r="O8" s="76"/>
    </row>
    <row r="9" spans="1:18" ht="15" thickBot="1" x14ac:dyDescent="0.35">
      <c r="A9" s="15" t="s">
        <v>46</v>
      </c>
      <c r="B9" s="15" t="s">
        <v>24</v>
      </c>
      <c r="C9" s="15" t="s">
        <v>42</v>
      </c>
      <c r="D9" s="15" t="s">
        <v>63</v>
      </c>
      <c r="E9" s="15" t="s">
        <v>47</v>
      </c>
      <c r="F9" s="15" t="s">
        <v>69</v>
      </c>
      <c r="G9" s="18" t="s">
        <v>48</v>
      </c>
      <c r="H9" s="18" t="s">
        <v>49</v>
      </c>
      <c r="I9" s="52" t="s">
        <v>44</v>
      </c>
      <c r="J9" s="51" t="s">
        <v>70</v>
      </c>
      <c r="K9" s="15" t="s">
        <v>45</v>
      </c>
      <c r="L9" s="62" t="s">
        <v>43</v>
      </c>
      <c r="M9" s="51" t="s">
        <v>71</v>
      </c>
      <c r="N9" s="15" t="s">
        <v>45</v>
      </c>
      <c r="O9" s="15" t="s">
        <v>43</v>
      </c>
    </row>
    <row r="10" spans="1:18" x14ac:dyDescent="0.3">
      <c r="A10" s="54">
        <v>1</v>
      </c>
      <c r="B10" s="16">
        <v>100</v>
      </c>
      <c r="C10" s="16">
        <v>0</v>
      </c>
      <c r="D10" s="25">
        <v>7.03</v>
      </c>
      <c r="E10" s="16" t="s">
        <v>12</v>
      </c>
      <c r="F10" s="16">
        <v>1</v>
      </c>
      <c r="G10" s="17">
        <f>SUMIF($A$10:$A$108,A10,$B$10:$B$108)</f>
        <v>100</v>
      </c>
      <c r="H10" s="17">
        <f>SUMIF($A$10:$A$108,A10,$B$10:$B$108)-SUMIF($A$10:$A$108,A10,$C$10:$C$108)</f>
        <v>100</v>
      </c>
      <c r="I10" s="53">
        <f t="shared" ref="I10:I41" si="0">B10-C10</f>
        <v>100</v>
      </c>
      <c r="J10" s="17">
        <f>IFERROR(IF(F10="",VLOOKUP(E10,'Static Data'!$B$3:$C$8,2,FALSE),VLOOKUP(E10,'Static Data'!$B$3:$C$8,2,FALSE)*2/3+1/3*F10),"")</f>
        <v>1</v>
      </c>
      <c r="K10" s="14">
        <f t="shared" ref="K10:K41" si="1">IFERROR(IF(INDEX($A$10:$A$108,MATCH(MAX($G$10:$G$108),$G$10:$G$108,0))=A10,0,B10*J10),0)</f>
        <v>0</v>
      </c>
      <c r="L10" s="53">
        <f t="shared" ref="L10:L41" si="2">IFERROR(IF(INDEX($A$10:$A$108,MATCH(MAX($H$10:$H$108),$H$10:$H$108,0))=A10,0,I10*J10),0)</f>
        <v>0</v>
      </c>
      <c r="M10" s="14">
        <f>IFERROR(VLOOKUP(E10,'Static Data'!$B$3:$C$8,2,FALSE),"")</f>
        <v>1</v>
      </c>
      <c r="N10" s="14">
        <f>IFERROR(IF(INDEX($A$10:$A$108,MATCH(MAX($G$10:$G$108),$G$10:$G$108,0))=A10,0,B10*M10),0)</f>
        <v>0</v>
      </c>
      <c r="O10" s="14">
        <f>IFERROR(IF(INDEX($A$10:$A$108,MATCH(MAX($H$10:$H$108),$H$10:$H$108,0))=A10,0,I10*M10),0)</f>
        <v>0</v>
      </c>
      <c r="R10" s="6"/>
    </row>
    <row r="11" spans="1:18" x14ac:dyDescent="0.3">
      <c r="A11" s="54">
        <v>2</v>
      </c>
      <c r="B11" s="16">
        <v>100</v>
      </c>
      <c r="C11" s="16">
        <v>0</v>
      </c>
      <c r="D11" s="25">
        <v>7.03</v>
      </c>
      <c r="E11" s="16" t="s">
        <v>12</v>
      </c>
      <c r="F11" s="16">
        <v>0.8</v>
      </c>
      <c r="G11" s="17">
        <f t="shared" ref="G11:G74" si="3">SUMIF($A$10:$A$108,A11,$B$10:$B$108)</f>
        <v>100</v>
      </c>
      <c r="H11" s="17">
        <f t="shared" ref="H11:H74" si="4">SUMIF($A$10:$A$108,A11,$B$10:$B$108)-SUMIF($A$10:$A$108,A11,$C$10:$C$108)</f>
        <v>100</v>
      </c>
      <c r="I11" s="53">
        <f t="shared" si="0"/>
        <v>100</v>
      </c>
      <c r="J11" s="17">
        <f>IFERROR(IF(F11="",VLOOKUP(E11,'Static Data'!$B$3:$C$8,2,FALSE),VLOOKUP(E11,'Static Data'!$B$3:$C$8,2,FALSE)*2/3+1/3*F11),"")</f>
        <v>0.93333333333333335</v>
      </c>
      <c r="K11" s="14">
        <f t="shared" si="1"/>
        <v>93.333333333333329</v>
      </c>
      <c r="L11" s="53">
        <f t="shared" si="2"/>
        <v>93.333333333333329</v>
      </c>
      <c r="M11" s="14">
        <f>IFERROR(VLOOKUP(E11,'Static Data'!$B$3:$C$8,2,FALSE),"")</f>
        <v>1</v>
      </c>
      <c r="N11" s="14">
        <f t="shared" ref="N11:N74" si="5">IFERROR(IF(INDEX($A$10:$A$108,MATCH(MAX($G$10:$G$108),$G$10:$G$108,0))=A11,0,B11*M11),0)</f>
        <v>100</v>
      </c>
      <c r="O11" s="14">
        <f t="shared" ref="O11:O74" si="6">IFERROR(IF(INDEX($A$10:$A$108,MATCH(MAX($H$10:$H$108),$H$10:$H$108,0))=A11,0,I11*M11),0)</f>
        <v>100</v>
      </c>
      <c r="R11" s="6"/>
    </row>
    <row r="12" spans="1:18" x14ac:dyDescent="0.3">
      <c r="A12" s="54">
        <v>3</v>
      </c>
      <c r="B12" s="16">
        <v>50</v>
      </c>
      <c r="C12" s="16">
        <v>45</v>
      </c>
      <c r="D12" s="25">
        <v>7.03</v>
      </c>
      <c r="E12" s="16" t="s">
        <v>12</v>
      </c>
      <c r="F12" s="16">
        <v>1</v>
      </c>
      <c r="G12" s="17">
        <f t="shared" si="3"/>
        <v>50</v>
      </c>
      <c r="H12" s="17">
        <f t="shared" si="4"/>
        <v>5</v>
      </c>
      <c r="I12" s="53">
        <f t="shared" si="0"/>
        <v>5</v>
      </c>
      <c r="J12" s="17">
        <f>IFERROR(IF(F12="",VLOOKUP(E12,'Static Data'!$B$3:$C$8,2,FALSE),VLOOKUP(E12,'Static Data'!$B$3:$C$8,2,FALSE)*2/3+1/3*F12),"")</f>
        <v>1</v>
      </c>
      <c r="K12" s="14">
        <f t="shared" si="1"/>
        <v>50</v>
      </c>
      <c r="L12" s="53">
        <f t="shared" si="2"/>
        <v>5</v>
      </c>
      <c r="M12" s="14">
        <f>IFERROR(VLOOKUP(E12,'Static Data'!$B$3:$C$8,2,FALSE),"")</f>
        <v>1</v>
      </c>
      <c r="N12" s="14">
        <f t="shared" si="5"/>
        <v>50</v>
      </c>
      <c r="O12" s="14">
        <f t="shared" si="6"/>
        <v>5</v>
      </c>
    </row>
    <row r="13" spans="1:18" x14ac:dyDescent="0.3">
      <c r="A13" s="54">
        <v>4</v>
      </c>
      <c r="B13" s="16">
        <v>25</v>
      </c>
      <c r="C13" s="16">
        <v>0</v>
      </c>
      <c r="D13" s="21">
        <v>7.03</v>
      </c>
      <c r="E13" s="16" t="s">
        <v>12</v>
      </c>
      <c r="F13" s="16"/>
      <c r="G13" s="17">
        <f t="shared" si="3"/>
        <v>25</v>
      </c>
      <c r="H13" s="17">
        <f t="shared" si="4"/>
        <v>25</v>
      </c>
      <c r="I13" s="53">
        <f t="shared" si="0"/>
        <v>25</v>
      </c>
      <c r="J13" s="17">
        <f>IFERROR(IF(F13="",VLOOKUP(E13,'Static Data'!$B$3:$C$8,2,FALSE),VLOOKUP(E13,'Static Data'!$B$3:$C$8,2,FALSE)*2/3+1/3*F13),"")</f>
        <v>1</v>
      </c>
      <c r="K13" s="14">
        <f t="shared" si="1"/>
        <v>25</v>
      </c>
      <c r="L13" s="53">
        <f t="shared" si="2"/>
        <v>25</v>
      </c>
      <c r="M13" s="14">
        <f>IFERROR(VLOOKUP(E13,'Static Data'!$B$3:$C$8,2,FALSE),"")</f>
        <v>1</v>
      </c>
      <c r="N13" s="14">
        <f t="shared" si="5"/>
        <v>25</v>
      </c>
      <c r="O13" s="14">
        <f t="shared" si="6"/>
        <v>25</v>
      </c>
    </row>
    <row r="14" spans="1:18" x14ac:dyDescent="0.3">
      <c r="A14" s="54"/>
      <c r="B14" s="16"/>
      <c r="C14" s="16"/>
      <c r="D14" s="21"/>
      <c r="E14" s="16"/>
      <c r="F14" s="16"/>
      <c r="G14" s="17">
        <f t="shared" si="3"/>
        <v>0</v>
      </c>
      <c r="H14" s="17">
        <f t="shared" si="4"/>
        <v>0</v>
      </c>
      <c r="I14" s="53">
        <f t="shared" si="0"/>
        <v>0</v>
      </c>
      <c r="J14" s="17" t="str">
        <f>IFERROR(IF(F14="",VLOOKUP(E14,'Static Data'!$B$3:$C$8,2,FALSE),VLOOKUP(E14,'Static Data'!$B$3:$C$8,2,FALSE)*2/3+1/3*F14),"")</f>
        <v/>
      </c>
      <c r="K14" s="14">
        <f t="shared" si="1"/>
        <v>0</v>
      </c>
      <c r="L14" s="53">
        <f t="shared" si="2"/>
        <v>0</v>
      </c>
      <c r="M14" s="14" t="str">
        <f>IFERROR(VLOOKUP(E14,'Static Data'!$B$3:$C$8,2,FALSE),"")</f>
        <v/>
      </c>
      <c r="N14" s="14">
        <f t="shared" si="5"/>
        <v>0</v>
      </c>
      <c r="O14" s="14">
        <f t="shared" si="6"/>
        <v>0</v>
      </c>
    </row>
    <row r="15" spans="1:18" x14ac:dyDescent="0.3">
      <c r="A15" s="54"/>
      <c r="B15" s="16"/>
      <c r="C15" s="16"/>
      <c r="D15" s="21"/>
      <c r="E15" s="16"/>
      <c r="F15" s="16"/>
      <c r="G15" s="17">
        <f t="shared" si="3"/>
        <v>0</v>
      </c>
      <c r="H15" s="17">
        <f t="shared" si="4"/>
        <v>0</v>
      </c>
      <c r="I15" s="53">
        <f t="shared" si="0"/>
        <v>0</v>
      </c>
      <c r="J15" s="17" t="str">
        <f>IFERROR(IF(F15="",VLOOKUP(E15,'Static Data'!$B$3:$C$8,2,FALSE),VLOOKUP(E15,'Static Data'!$B$3:$C$8,2,FALSE)*2/3+1/3*F15),"")</f>
        <v/>
      </c>
      <c r="K15" s="14">
        <f t="shared" si="1"/>
        <v>0</v>
      </c>
      <c r="L15" s="53">
        <f t="shared" si="2"/>
        <v>0</v>
      </c>
      <c r="M15" s="14" t="str">
        <f>IFERROR(VLOOKUP(E15,'Static Data'!$B$3:$C$8,2,FALSE),"")</f>
        <v/>
      </c>
      <c r="N15" s="14">
        <f t="shared" si="5"/>
        <v>0</v>
      </c>
      <c r="O15" s="14">
        <f t="shared" si="6"/>
        <v>0</v>
      </c>
    </row>
    <row r="16" spans="1:18" x14ac:dyDescent="0.3">
      <c r="A16" s="54"/>
      <c r="B16" s="16"/>
      <c r="C16" s="16"/>
      <c r="D16" s="21"/>
      <c r="E16" s="16"/>
      <c r="F16" s="16"/>
      <c r="G16" s="17">
        <f t="shared" si="3"/>
        <v>0</v>
      </c>
      <c r="H16" s="17">
        <f t="shared" si="4"/>
        <v>0</v>
      </c>
      <c r="I16" s="53">
        <f t="shared" si="0"/>
        <v>0</v>
      </c>
      <c r="J16" s="17" t="str">
        <f>IFERROR(IF(F16="",VLOOKUP(E16,'Static Data'!$B$3:$C$8,2,FALSE),VLOOKUP(E16,'Static Data'!$B$3:$C$8,2,FALSE)*2/3+1/3*F16),"")</f>
        <v/>
      </c>
      <c r="K16" s="14">
        <f t="shared" si="1"/>
        <v>0</v>
      </c>
      <c r="L16" s="53">
        <f t="shared" si="2"/>
        <v>0</v>
      </c>
      <c r="M16" s="14" t="str">
        <f>IFERROR(VLOOKUP(E16,'Static Data'!$B$3:$C$8,2,FALSE),"")</f>
        <v/>
      </c>
      <c r="N16" s="14">
        <f t="shared" si="5"/>
        <v>0</v>
      </c>
      <c r="O16" s="14">
        <f t="shared" si="6"/>
        <v>0</v>
      </c>
    </row>
    <row r="17" spans="1:17" x14ac:dyDescent="0.3">
      <c r="A17" s="54"/>
      <c r="B17" s="16"/>
      <c r="C17" s="16"/>
      <c r="D17" s="21"/>
      <c r="E17" s="16"/>
      <c r="F17" s="16"/>
      <c r="G17" s="17">
        <f t="shared" si="3"/>
        <v>0</v>
      </c>
      <c r="H17" s="17">
        <f t="shared" si="4"/>
        <v>0</v>
      </c>
      <c r="I17" s="53">
        <f t="shared" si="0"/>
        <v>0</v>
      </c>
      <c r="J17" s="17" t="str">
        <f>IFERROR(IF(F17="",VLOOKUP(E17,'Static Data'!$B$3:$C$8,2,FALSE),VLOOKUP(E17,'Static Data'!$B$3:$C$8,2,FALSE)*2/3+1/3*F17),"")</f>
        <v/>
      </c>
      <c r="K17" s="14">
        <f t="shared" si="1"/>
        <v>0</v>
      </c>
      <c r="L17" s="53">
        <f t="shared" si="2"/>
        <v>0</v>
      </c>
      <c r="M17" s="14" t="str">
        <f>IFERROR(VLOOKUP(E17,'Static Data'!$B$3:$C$8,2,FALSE),"")</f>
        <v/>
      </c>
      <c r="N17" s="14">
        <f t="shared" si="5"/>
        <v>0</v>
      </c>
      <c r="O17" s="14">
        <f t="shared" si="6"/>
        <v>0</v>
      </c>
    </row>
    <row r="18" spans="1:17" x14ac:dyDescent="0.3">
      <c r="A18" s="54"/>
      <c r="B18" s="16"/>
      <c r="C18" s="16"/>
      <c r="D18" s="21"/>
      <c r="E18" s="16"/>
      <c r="F18" s="16"/>
      <c r="G18" s="17">
        <f t="shared" si="3"/>
        <v>0</v>
      </c>
      <c r="H18" s="17">
        <f t="shared" si="4"/>
        <v>0</v>
      </c>
      <c r="I18" s="53">
        <f t="shared" si="0"/>
        <v>0</v>
      </c>
      <c r="J18" s="17" t="str">
        <f>IFERROR(IF(F18="",VLOOKUP(E18,'Static Data'!$B$3:$C$8,2,FALSE),VLOOKUP(E18,'Static Data'!$B$3:$C$8,2,FALSE)*2/3+1/3*F18),"")</f>
        <v/>
      </c>
      <c r="K18" s="14">
        <f t="shared" si="1"/>
        <v>0</v>
      </c>
      <c r="L18" s="53">
        <f t="shared" si="2"/>
        <v>0</v>
      </c>
      <c r="M18" s="14" t="str">
        <f>IFERROR(VLOOKUP(E18,'Static Data'!$B$3:$C$8,2,FALSE),"")</f>
        <v/>
      </c>
      <c r="N18" s="14">
        <f t="shared" si="5"/>
        <v>0</v>
      </c>
      <c r="O18" s="14">
        <f t="shared" si="6"/>
        <v>0</v>
      </c>
    </row>
    <row r="19" spans="1:17" x14ac:dyDescent="0.3">
      <c r="A19" s="54"/>
      <c r="B19" s="16"/>
      <c r="C19" s="16"/>
      <c r="D19" s="21"/>
      <c r="E19" s="16"/>
      <c r="F19" s="16"/>
      <c r="G19" s="17">
        <f t="shared" si="3"/>
        <v>0</v>
      </c>
      <c r="H19" s="17">
        <f t="shared" si="4"/>
        <v>0</v>
      </c>
      <c r="I19" s="53">
        <f t="shared" si="0"/>
        <v>0</v>
      </c>
      <c r="J19" s="17" t="str">
        <f>IFERROR(IF(F19="",VLOOKUP(E19,'Static Data'!$B$3:$C$8,2,FALSE),VLOOKUP(E19,'Static Data'!$B$3:$C$8,2,FALSE)*2/3+1/3*F19),"")</f>
        <v/>
      </c>
      <c r="K19" s="14">
        <f t="shared" si="1"/>
        <v>0</v>
      </c>
      <c r="L19" s="53">
        <f t="shared" si="2"/>
        <v>0</v>
      </c>
      <c r="M19" s="14" t="str">
        <f>IFERROR(VLOOKUP(E19,'Static Data'!$B$3:$C$8,2,FALSE),"")</f>
        <v/>
      </c>
      <c r="N19" s="14">
        <f t="shared" si="5"/>
        <v>0</v>
      </c>
      <c r="O19" s="14">
        <f t="shared" si="6"/>
        <v>0</v>
      </c>
    </row>
    <row r="20" spans="1:17" x14ac:dyDescent="0.3">
      <c r="A20" s="54"/>
      <c r="B20" s="16"/>
      <c r="C20" s="16"/>
      <c r="D20" s="21"/>
      <c r="E20" s="16"/>
      <c r="F20" s="16"/>
      <c r="G20" s="17">
        <f t="shared" si="3"/>
        <v>0</v>
      </c>
      <c r="H20" s="17">
        <f t="shared" si="4"/>
        <v>0</v>
      </c>
      <c r="I20" s="53">
        <f t="shared" si="0"/>
        <v>0</v>
      </c>
      <c r="J20" s="17" t="str">
        <f>IFERROR(IF(F20="",VLOOKUP(E20,'Static Data'!$B$3:$C$8,2,FALSE),VLOOKUP(E20,'Static Data'!$B$3:$C$8,2,FALSE)*2/3+1/3*F20),"")</f>
        <v/>
      </c>
      <c r="K20" s="14">
        <f t="shared" si="1"/>
        <v>0</v>
      </c>
      <c r="L20" s="53">
        <f t="shared" si="2"/>
        <v>0</v>
      </c>
      <c r="M20" s="14" t="str">
        <f>IFERROR(VLOOKUP(E20,'Static Data'!$B$3:$C$8,2,FALSE),"")</f>
        <v/>
      </c>
      <c r="N20" s="14">
        <f t="shared" si="5"/>
        <v>0</v>
      </c>
      <c r="O20" s="14">
        <f t="shared" si="6"/>
        <v>0</v>
      </c>
    </row>
    <row r="21" spans="1:17" x14ac:dyDescent="0.3">
      <c r="A21" s="54"/>
      <c r="B21" s="16"/>
      <c r="C21" s="16"/>
      <c r="D21" s="21"/>
      <c r="E21" s="16"/>
      <c r="F21" s="16"/>
      <c r="G21" s="17">
        <f t="shared" si="3"/>
        <v>0</v>
      </c>
      <c r="H21" s="17">
        <f t="shared" si="4"/>
        <v>0</v>
      </c>
      <c r="I21" s="53">
        <f t="shared" si="0"/>
        <v>0</v>
      </c>
      <c r="J21" s="17" t="str">
        <f>IFERROR(IF(F21="",VLOOKUP(E21,'Static Data'!$B$3:$C$8,2,FALSE),VLOOKUP(E21,'Static Data'!$B$3:$C$8,2,FALSE)*2/3+1/3*F21),"")</f>
        <v/>
      </c>
      <c r="K21" s="14">
        <f t="shared" si="1"/>
        <v>0</v>
      </c>
      <c r="L21" s="53">
        <f t="shared" si="2"/>
        <v>0</v>
      </c>
      <c r="M21" s="14" t="str">
        <f>IFERROR(VLOOKUP(E21,'Static Data'!$B$3:$C$8,2,FALSE),"")</f>
        <v/>
      </c>
      <c r="N21" s="14">
        <f t="shared" si="5"/>
        <v>0</v>
      </c>
      <c r="O21" s="14">
        <f t="shared" si="6"/>
        <v>0</v>
      </c>
    </row>
    <row r="22" spans="1:17" x14ac:dyDescent="0.3">
      <c r="A22" s="54"/>
      <c r="B22" s="16"/>
      <c r="C22" s="16"/>
      <c r="D22" s="21"/>
      <c r="E22" s="16"/>
      <c r="F22" s="16"/>
      <c r="G22" s="17">
        <f t="shared" si="3"/>
        <v>0</v>
      </c>
      <c r="H22" s="17">
        <f t="shared" si="4"/>
        <v>0</v>
      </c>
      <c r="I22" s="53">
        <f t="shared" si="0"/>
        <v>0</v>
      </c>
      <c r="J22" s="17" t="str">
        <f>IFERROR(IF(F22="",VLOOKUP(E22,'Static Data'!$B$3:$C$8,2,FALSE),VLOOKUP(E22,'Static Data'!$B$3:$C$8,2,FALSE)*2/3+1/3*F22),"")</f>
        <v/>
      </c>
      <c r="K22" s="14">
        <f t="shared" si="1"/>
        <v>0</v>
      </c>
      <c r="L22" s="53">
        <f t="shared" si="2"/>
        <v>0</v>
      </c>
      <c r="M22" s="14" t="str">
        <f>IFERROR(VLOOKUP(E22,'Static Data'!$B$3:$C$8,2,FALSE),"")</f>
        <v/>
      </c>
      <c r="N22" s="14">
        <f t="shared" si="5"/>
        <v>0</v>
      </c>
      <c r="O22" s="14">
        <f t="shared" si="6"/>
        <v>0</v>
      </c>
    </row>
    <row r="23" spans="1:17" x14ac:dyDescent="0.3">
      <c r="A23" s="54"/>
      <c r="B23" s="16"/>
      <c r="C23" s="16"/>
      <c r="D23" s="21"/>
      <c r="E23" s="16"/>
      <c r="F23" s="16"/>
      <c r="G23" s="17">
        <f t="shared" si="3"/>
        <v>0</v>
      </c>
      <c r="H23" s="17">
        <f t="shared" si="4"/>
        <v>0</v>
      </c>
      <c r="I23" s="53">
        <f t="shared" si="0"/>
        <v>0</v>
      </c>
      <c r="J23" s="17" t="str">
        <f>IFERROR(IF(F23="",VLOOKUP(E23,'Static Data'!$B$3:$C$8,2,FALSE),VLOOKUP(E23,'Static Data'!$B$3:$C$8,2,FALSE)*2/3+1/3*F23),"")</f>
        <v/>
      </c>
      <c r="K23" s="14">
        <f t="shared" si="1"/>
        <v>0</v>
      </c>
      <c r="L23" s="53">
        <f t="shared" si="2"/>
        <v>0</v>
      </c>
      <c r="M23" s="14" t="str">
        <f>IFERROR(VLOOKUP(E23,'Static Data'!$B$3:$C$8,2,FALSE),"")</f>
        <v/>
      </c>
      <c r="N23" s="14">
        <f t="shared" si="5"/>
        <v>0</v>
      </c>
      <c r="O23" s="14">
        <f t="shared" si="6"/>
        <v>0</v>
      </c>
    </row>
    <row r="24" spans="1:17" x14ac:dyDescent="0.3">
      <c r="A24" s="54"/>
      <c r="B24" s="16"/>
      <c r="C24" s="16"/>
      <c r="D24" s="21"/>
      <c r="E24" s="16"/>
      <c r="F24" s="16"/>
      <c r="G24" s="17">
        <f t="shared" si="3"/>
        <v>0</v>
      </c>
      <c r="H24" s="17">
        <f t="shared" si="4"/>
        <v>0</v>
      </c>
      <c r="I24" s="53">
        <f t="shared" si="0"/>
        <v>0</v>
      </c>
      <c r="J24" s="17" t="str">
        <f>IFERROR(IF(F24="",VLOOKUP(E24,'Static Data'!$B$3:$C$8,2,FALSE),VLOOKUP(E24,'Static Data'!$B$3:$C$8,2,FALSE)*2/3+1/3*F24),"")</f>
        <v/>
      </c>
      <c r="K24" s="14">
        <f t="shared" si="1"/>
        <v>0</v>
      </c>
      <c r="L24" s="53">
        <f t="shared" si="2"/>
        <v>0</v>
      </c>
      <c r="M24" s="14" t="str">
        <f>IFERROR(VLOOKUP(E24,'Static Data'!$B$3:$C$8,2,FALSE),"")</f>
        <v/>
      </c>
      <c r="N24" s="14">
        <f t="shared" si="5"/>
        <v>0</v>
      </c>
      <c r="O24" s="14">
        <f t="shared" si="6"/>
        <v>0</v>
      </c>
    </row>
    <row r="25" spans="1:17" x14ac:dyDescent="0.3">
      <c r="A25" s="54"/>
      <c r="B25" s="16"/>
      <c r="C25" s="16"/>
      <c r="D25" s="21"/>
      <c r="E25" s="16"/>
      <c r="F25" s="16"/>
      <c r="G25" s="17">
        <f t="shared" si="3"/>
        <v>0</v>
      </c>
      <c r="H25" s="17">
        <f t="shared" si="4"/>
        <v>0</v>
      </c>
      <c r="I25" s="53">
        <f t="shared" si="0"/>
        <v>0</v>
      </c>
      <c r="J25" s="17" t="str">
        <f>IFERROR(IF(F25="",VLOOKUP(E25,'Static Data'!$B$3:$C$8,2,FALSE),VLOOKUP(E25,'Static Data'!$B$3:$C$8,2,FALSE)*2/3+1/3*F25),"")</f>
        <v/>
      </c>
      <c r="K25" s="14">
        <f t="shared" si="1"/>
        <v>0</v>
      </c>
      <c r="L25" s="53">
        <f t="shared" si="2"/>
        <v>0</v>
      </c>
      <c r="M25" s="14" t="str">
        <f>IFERROR(VLOOKUP(E25,'Static Data'!$B$3:$C$8,2,FALSE),"")</f>
        <v/>
      </c>
      <c r="N25" s="14">
        <f t="shared" si="5"/>
        <v>0</v>
      </c>
      <c r="O25" s="14">
        <f t="shared" si="6"/>
        <v>0</v>
      </c>
    </row>
    <row r="26" spans="1:17" x14ac:dyDescent="0.3">
      <c r="A26" s="54"/>
      <c r="B26" s="16"/>
      <c r="C26" s="16"/>
      <c r="D26" s="21"/>
      <c r="E26" s="16"/>
      <c r="F26" s="16"/>
      <c r="G26" s="17">
        <f t="shared" si="3"/>
        <v>0</v>
      </c>
      <c r="H26" s="17">
        <f t="shared" si="4"/>
        <v>0</v>
      </c>
      <c r="I26" s="53">
        <f t="shared" si="0"/>
        <v>0</v>
      </c>
      <c r="J26" s="17" t="str">
        <f>IFERROR(IF(F26="",VLOOKUP(E26,'Static Data'!$B$3:$C$8,2,FALSE),VLOOKUP(E26,'Static Data'!$B$3:$C$8,2,FALSE)*2/3+1/3*F26),"")</f>
        <v/>
      </c>
      <c r="K26" s="14">
        <f t="shared" si="1"/>
        <v>0</v>
      </c>
      <c r="L26" s="53">
        <f t="shared" si="2"/>
        <v>0</v>
      </c>
      <c r="M26" s="14" t="str">
        <f>IFERROR(VLOOKUP(E26,'Static Data'!$B$3:$C$8,2,FALSE),"")</f>
        <v/>
      </c>
      <c r="N26" s="14">
        <f t="shared" si="5"/>
        <v>0</v>
      </c>
      <c r="O26" s="14">
        <f t="shared" si="6"/>
        <v>0</v>
      </c>
    </row>
    <row r="27" spans="1:17" x14ac:dyDescent="0.3">
      <c r="A27" s="54"/>
      <c r="B27" s="16"/>
      <c r="C27" s="16"/>
      <c r="D27" s="21"/>
      <c r="E27" s="16"/>
      <c r="F27" s="16"/>
      <c r="G27" s="17">
        <f t="shared" si="3"/>
        <v>0</v>
      </c>
      <c r="H27" s="17">
        <f t="shared" si="4"/>
        <v>0</v>
      </c>
      <c r="I27" s="53">
        <f t="shared" si="0"/>
        <v>0</v>
      </c>
      <c r="J27" s="17" t="str">
        <f>IFERROR(IF(F27="",VLOOKUP(E27,'Static Data'!$B$3:$C$8,2,FALSE),VLOOKUP(E27,'Static Data'!$B$3:$C$8,2,FALSE)*2/3+1/3*F27),"")</f>
        <v/>
      </c>
      <c r="K27" s="14">
        <f t="shared" si="1"/>
        <v>0</v>
      </c>
      <c r="L27" s="53">
        <f t="shared" si="2"/>
        <v>0</v>
      </c>
      <c r="M27" s="14" t="str">
        <f>IFERROR(VLOOKUP(E27,'Static Data'!$B$3:$C$8,2,FALSE),"")</f>
        <v/>
      </c>
      <c r="N27" s="14">
        <f t="shared" si="5"/>
        <v>0</v>
      </c>
      <c r="O27" s="14">
        <f t="shared" si="6"/>
        <v>0</v>
      </c>
    </row>
    <row r="28" spans="1:17" x14ac:dyDescent="0.3">
      <c r="A28" s="54"/>
      <c r="B28" s="16"/>
      <c r="C28" s="16"/>
      <c r="D28" s="21"/>
      <c r="E28" s="16"/>
      <c r="F28" s="16"/>
      <c r="G28" s="17">
        <f t="shared" si="3"/>
        <v>0</v>
      </c>
      <c r="H28" s="17">
        <f t="shared" si="4"/>
        <v>0</v>
      </c>
      <c r="I28" s="53">
        <f t="shared" si="0"/>
        <v>0</v>
      </c>
      <c r="J28" s="17" t="str">
        <f>IFERROR(IF(F28="",VLOOKUP(E28,'Static Data'!$B$3:$C$8,2,FALSE),VLOOKUP(E28,'Static Data'!$B$3:$C$8,2,FALSE)*2/3+1/3*F28),"")</f>
        <v/>
      </c>
      <c r="K28" s="14">
        <f t="shared" si="1"/>
        <v>0</v>
      </c>
      <c r="L28" s="53">
        <f t="shared" si="2"/>
        <v>0</v>
      </c>
      <c r="M28" s="14" t="str">
        <f>IFERROR(VLOOKUP(E28,'Static Data'!$B$3:$C$8,2,FALSE),"")</f>
        <v/>
      </c>
      <c r="N28" s="14">
        <f t="shared" si="5"/>
        <v>0</v>
      </c>
      <c r="O28" s="14">
        <f t="shared" si="6"/>
        <v>0</v>
      </c>
    </row>
    <row r="29" spans="1:17" x14ac:dyDescent="0.3">
      <c r="A29" s="54"/>
      <c r="B29" s="16"/>
      <c r="C29" s="16"/>
      <c r="D29" s="21"/>
      <c r="E29" s="16"/>
      <c r="F29" s="16"/>
      <c r="G29" s="17">
        <f t="shared" si="3"/>
        <v>0</v>
      </c>
      <c r="H29" s="17">
        <f t="shared" si="4"/>
        <v>0</v>
      </c>
      <c r="I29" s="53">
        <f t="shared" si="0"/>
        <v>0</v>
      </c>
      <c r="J29" s="17" t="str">
        <f>IFERROR(IF(F29="",VLOOKUP(E29,'Static Data'!$B$3:$C$8,2,FALSE),VLOOKUP(E29,'Static Data'!$B$3:$C$8,2,FALSE)*2/3+1/3*F29),"")</f>
        <v/>
      </c>
      <c r="K29" s="14">
        <f t="shared" si="1"/>
        <v>0</v>
      </c>
      <c r="L29" s="53">
        <f t="shared" si="2"/>
        <v>0</v>
      </c>
      <c r="M29" s="14" t="str">
        <f>IFERROR(VLOOKUP(E29,'Static Data'!$B$3:$C$8,2,FALSE),"")</f>
        <v/>
      </c>
      <c r="N29" s="14">
        <f t="shared" si="5"/>
        <v>0</v>
      </c>
      <c r="O29" s="14">
        <f t="shared" si="6"/>
        <v>0</v>
      </c>
      <c r="Q29" s="4"/>
    </row>
    <row r="30" spans="1:17" x14ac:dyDescent="0.3">
      <c r="A30" s="54"/>
      <c r="B30" s="16"/>
      <c r="C30" s="16"/>
      <c r="D30" s="21"/>
      <c r="E30" s="16"/>
      <c r="F30" s="16"/>
      <c r="G30" s="17">
        <f t="shared" si="3"/>
        <v>0</v>
      </c>
      <c r="H30" s="17">
        <f t="shared" si="4"/>
        <v>0</v>
      </c>
      <c r="I30" s="53">
        <f t="shared" si="0"/>
        <v>0</v>
      </c>
      <c r="J30" s="17" t="str">
        <f>IFERROR(IF(F30="",VLOOKUP(E30,'Static Data'!$B$3:$C$8,2,FALSE),VLOOKUP(E30,'Static Data'!$B$3:$C$8,2,FALSE)*2/3+1/3*F30),"")</f>
        <v/>
      </c>
      <c r="K30" s="14">
        <f t="shared" si="1"/>
        <v>0</v>
      </c>
      <c r="L30" s="53">
        <f t="shared" si="2"/>
        <v>0</v>
      </c>
      <c r="M30" s="14" t="str">
        <f>IFERROR(VLOOKUP(E30,'Static Data'!$B$3:$C$8,2,FALSE),"")</f>
        <v/>
      </c>
      <c r="N30" s="14">
        <f t="shared" si="5"/>
        <v>0</v>
      </c>
      <c r="O30" s="14">
        <f t="shared" si="6"/>
        <v>0</v>
      </c>
      <c r="Q30" s="4"/>
    </row>
    <row r="31" spans="1:17" x14ac:dyDescent="0.3">
      <c r="A31" s="54"/>
      <c r="B31" s="16"/>
      <c r="C31" s="16"/>
      <c r="D31" s="21"/>
      <c r="E31" s="16"/>
      <c r="F31" s="16"/>
      <c r="G31" s="17">
        <f t="shared" si="3"/>
        <v>0</v>
      </c>
      <c r="H31" s="17">
        <f t="shared" si="4"/>
        <v>0</v>
      </c>
      <c r="I31" s="53">
        <f t="shared" si="0"/>
        <v>0</v>
      </c>
      <c r="J31" s="17" t="str">
        <f>IFERROR(IF(F31="",VLOOKUP(E31,'Static Data'!$B$3:$C$8,2,FALSE),VLOOKUP(E31,'Static Data'!$B$3:$C$8,2,FALSE)*2/3+1/3*F31),"")</f>
        <v/>
      </c>
      <c r="K31" s="14">
        <f t="shared" si="1"/>
        <v>0</v>
      </c>
      <c r="L31" s="53">
        <f t="shared" si="2"/>
        <v>0</v>
      </c>
      <c r="M31" s="14" t="str">
        <f>IFERROR(VLOOKUP(E31,'Static Data'!$B$3:$C$8,2,FALSE),"")</f>
        <v/>
      </c>
      <c r="N31" s="14">
        <f t="shared" si="5"/>
        <v>0</v>
      </c>
      <c r="O31" s="14">
        <f t="shared" si="6"/>
        <v>0</v>
      </c>
    </row>
    <row r="32" spans="1:17" x14ac:dyDescent="0.3">
      <c r="A32" s="54"/>
      <c r="B32" s="16"/>
      <c r="C32" s="16"/>
      <c r="D32" s="21"/>
      <c r="E32" s="16"/>
      <c r="F32" s="16"/>
      <c r="G32" s="17">
        <f t="shared" si="3"/>
        <v>0</v>
      </c>
      <c r="H32" s="17">
        <f t="shared" si="4"/>
        <v>0</v>
      </c>
      <c r="I32" s="53">
        <f t="shared" si="0"/>
        <v>0</v>
      </c>
      <c r="J32" s="17" t="str">
        <f>IFERROR(IF(F32="",VLOOKUP(E32,'Static Data'!$B$3:$C$8,2,FALSE),VLOOKUP(E32,'Static Data'!$B$3:$C$8,2,FALSE)*2/3+1/3*F32),"")</f>
        <v/>
      </c>
      <c r="K32" s="14">
        <f t="shared" si="1"/>
        <v>0</v>
      </c>
      <c r="L32" s="53">
        <f t="shared" si="2"/>
        <v>0</v>
      </c>
      <c r="M32" s="14" t="str">
        <f>IFERROR(VLOOKUP(E32,'Static Data'!$B$3:$C$8,2,FALSE),"")</f>
        <v/>
      </c>
      <c r="N32" s="14">
        <f t="shared" si="5"/>
        <v>0</v>
      </c>
      <c r="O32" s="14">
        <f t="shared" si="6"/>
        <v>0</v>
      </c>
    </row>
    <row r="33" spans="1:15" x14ac:dyDescent="0.3">
      <c r="A33" s="54"/>
      <c r="B33" s="16"/>
      <c r="C33" s="16"/>
      <c r="D33" s="21"/>
      <c r="E33" s="16"/>
      <c r="F33" s="16"/>
      <c r="G33" s="17">
        <f t="shared" si="3"/>
        <v>0</v>
      </c>
      <c r="H33" s="17">
        <f t="shared" si="4"/>
        <v>0</v>
      </c>
      <c r="I33" s="53">
        <f t="shared" si="0"/>
        <v>0</v>
      </c>
      <c r="J33" s="17" t="str">
        <f>IFERROR(IF(F33="",VLOOKUP(E33,'Static Data'!$B$3:$C$8,2,FALSE),VLOOKUP(E33,'Static Data'!$B$3:$C$8,2,FALSE)*2/3+1/3*F33),"")</f>
        <v/>
      </c>
      <c r="K33" s="14">
        <f t="shared" si="1"/>
        <v>0</v>
      </c>
      <c r="L33" s="53">
        <f t="shared" si="2"/>
        <v>0</v>
      </c>
      <c r="M33" s="14" t="str">
        <f>IFERROR(VLOOKUP(E33,'Static Data'!$B$3:$C$8,2,FALSE),"")</f>
        <v/>
      </c>
      <c r="N33" s="14">
        <f t="shared" si="5"/>
        <v>0</v>
      </c>
      <c r="O33" s="14">
        <f t="shared" si="6"/>
        <v>0</v>
      </c>
    </row>
    <row r="34" spans="1:15" x14ac:dyDescent="0.3">
      <c r="A34" s="54"/>
      <c r="B34" s="16"/>
      <c r="C34" s="16"/>
      <c r="D34" s="21"/>
      <c r="E34" s="16"/>
      <c r="F34" s="16"/>
      <c r="G34" s="17">
        <f t="shared" si="3"/>
        <v>0</v>
      </c>
      <c r="H34" s="17">
        <f t="shared" si="4"/>
        <v>0</v>
      </c>
      <c r="I34" s="53">
        <f t="shared" si="0"/>
        <v>0</v>
      </c>
      <c r="J34" s="17" t="str">
        <f>IFERROR(IF(F34="",VLOOKUP(E34,'Static Data'!$B$3:$C$8,2,FALSE),VLOOKUP(E34,'Static Data'!$B$3:$C$8,2,FALSE)*2/3+1/3*F34),"")</f>
        <v/>
      </c>
      <c r="K34" s="14">
        <f t="shared" si="1"/>
        <v>0</v>
      </c>
      <c r="L34" s="53">
        <f t="shared" si="2"/>
        <v>0</v>
      </c>
      <c r="M34" s="14" t="str">
        <f>IFERROR(VLOOKUP(E34,'Static Data'!$B$3:$C$8,2,FALSE),"")</f>
        <v/>
      </c>
      <c r="N34" s="14">
        <f t="shared" si="5"/>
        <v>0</v>
      </c>
      <c r="O34" s="14">
        <f t="shared" si="6"/>
        <v>0</v>
      </c>
    </row>
    <row r="35" spans="1:15" x14ac:dyDescent="0.3">
      <c r="A35" s="54"/>
      <c r="B35" s="16"/>
      <c r="C35" s="16"/>
      <c r="D35" s="21"/>
      <c r="E35" s="16"/>
      <c r="F35" s="16"/>
      <c r="G35" s="17">
        <f t="shared" si="3"/>
        <v>0</v>
      </c>
      <c r="H35" s="17">
        <f t="shared" si="4"/>
        <v>0</v>
      </c>
      <c r="I35" s="53">
        <f t="shared" si="0"/>
        <v>0</v>
      </c>
      <c r="J35" s="17" t="str">
        <f>IFERROR(IF(F35="",VLOOKUP(E35,'Static Data'!$B$3:$C$8,2,FALSE),VLOOKUP(E35,'Static Data'!$B$3:$C$8,2,FALSE)*2/3+1/3*F35),"")</f>
        <v/>
      </c>
      <c r="K35" s="14">
        <f t="shared" si="1"/>
        <v>0</v>
      </c>
      <c r="L35" s="53">
        <f t="shared" si="2"/>
        <v>0</v>
      </c>
      <c r="M35" s="14" t="str">
        <f>IFERROR(VLOOKUP(E35,'Static Data'!$B$3:$C$8,2,FALSE),"")</f>
        <v/>
      </c>
      <c r="N35" s="14">
        <f t="shared" si="5"/>
        <v>0</v>
      </c>
      <c r="O35" s="14">
        <f t="shared" si="6"/>
        <v>0</v>
      </c>
    </row>
    <row r="36" spans="1:15" x14ac:dyDescent="0.3">
      <c r="A36" s="54"/>
      <c r="B36" s="16"/>
      <c r="C36" s="16"/>
      <c r="D36" s="21"/>
      <c r="E36" s="16"/>
      <c r="F36" s="16"/>
      <c r="G36" s="17">
        <f t="shared" si="3"/>
        <v>0</v>
      </c>
      <c r="H36" s="17">
        <f t="shared" si="4"/>
        <v>0</v>
      </c>
      <c r="I36" s="53">
        <f t="shared" si="0"/>
        <v>0</v>
      </c>
      <c r="J36" s="17" t="str">
        <f>IFERROR(IF(F36="",VLOOKUP(E36,'Static Data'!$B$3:$C$8,2,FALSE),VLOOKUP(E36,'Static Data'!$B$3:$C$8,2,FALSE)*2/3+1/3*F36),"")</f>
        <v/>
      </c>
      <c r="K36" s="14">
        <f t="shared" si="1"/>
        <v>0</v>
      </c>
      <c r="L36" s="53">
        <f t="shared" si="2"/>
        <v>0</v>
      </c>
      <c r="M36" s="14" t="str">
        <f>IFERROR(VLOOKUP(E36,'Static Data'!$B$3:$C$8,2,FALSE),"")</f>
        <v/>
      </c>
      <c r="N36" s="14">
        <f t="shared" si="5"/>
        <v>0</v>
      </c>
      <c r="O36" s="14">
        <f t="shared" si="6"/>
        <v>0</v>
      </c>
    </row>
    <row r="37" spans="1:15" x14ac:dyDescent="0.3">
      <c r="A37" s="54"/>
      <c r="B37" s="16"/>
      <c r="C37" s="16"/>
      <c r="D37" s="21"/>
      <c r="E37" s="16"/>
      <c r="F37" s="16"/>
      <c r="G37" s="17">
        <f t="shared" si="3"/>
        <v>0</v>
      </c>
      <c r="H37" s="17">
        <f t="shared" si="4"/>
        <v>0</v>
      </c>
      <c r="I37" s="53">
        <f t="shared" si="0"/>
        <v>0</v>
      </c>
      <c r="J37" s="17" t="str">
        <f>IFERROR(IF(F37="",VLOOKUP(E37,'Static Data'!$B$3:$C$8,2,FALSE),VLOOKUP(E37,'Static Data'!$B$3:$C$8,2,FALSE)*2/3+1/3*F37),"")</f>
        <v/>
      </c>
      <c r="K37" s="14">
        <f t="shared" si="1"/>
        <v>0</v>
      </c>
      <c r="L37" s="53">
        <f t="shared" si="2"/>
        <v>0</v>
      </c>
      <c r="M37" s="14" t="str">
        <f>IFERROR(VLOOKUP(E37,'Static Data'!$B$3:$C$8,2,FALSE),"")</f>
        <v/>
      </c>
      <c r="N37" s="14">
        <f t="shared" si="5"/>
        <v>0</v>
      </c>
      <c r="O37" s="14">
        <f t="shared" si="6"/>
        <v>0</v>
      </c>
    </row>
    <row r="38" spans="1:15" x14ac:dyDescent="0.3">
      <c r="A38" s="54"/>
      <c r="B38" s="16"/>
      <c r="C38" s="16"/>
      <c r="D38" s="21"/>
      <c r="E38" s="16"/>
      <c r="F38" s="16"/>
      <c r="G38" s="17">
        <f t="shared" si="3"/>
        <v>0</v>
      </c>
      <c r="H38" s="17">
        <f t="shared" si="4"/>
        <v>0</v>
      </c>
      <c r="I38" s="53">
        <f t="shared" si="0"/>
        <v>0</v>
      </c>
      <c r="J38" s="17" t="str">
        <f>IFERROR(IF(F38="",VLOOKUP(E38,'Static Data'!$B$3:$C$8,2,FALSE),VLOOKUP(E38,'Static Data'!$B$3:$C$8,2,FALSE)*2/3+1/3*F38),"")</f>
        <v/>
      </c>
      <c r="K38" s="14">
        <f t="shared" si="1"/>
        <v>0</v>
      </c>
      <c r="L38" s="53">
        <f t="shared" si="2"/>
        <v>0</v>
      </c>
      <c r="M38" s="14" t="str">
        <f>IFERROR(VLOOKUP(E38,'Static Data'!$B$3:$C$8,2,FALSE),"")</f>
        <v/>
      </c>
      <c r="N38" s="14">
        <f t="shared" si="5"/>
        <v>0</v>
      </c>
      <c r="O38" s="14">
        <f t="shared" si="6"/>
        <v>0</v>
      </c>
    </row>
    <row r="39" spans="1:15" x14ac:dyDescent="0.3">
      <c r="A39" s="54"/>
      <c r="B39" s="16"/>
      <c r="C39" s="16"/>
      <c r="D39" s="21"/>
      <c r="E39" s="16"/>
      <c r="F39" s="16"/>
      <c r="G39" s="17">
        <f t="shared" si="3"/>
        <v>0</v>
      </c>
      <c r="H39" s="17">
        <f t="shared" si="4"/>
        <v>0</v>
      </c>
      <c r="I39" s="53">
        <f t="shared" si="0"/>
        <v>0</v>
      </c>
      <c r="J39" s="17" t="str">
        <f>IFERROR(IF(F39="",VLOOKUP(E39,'Static Data'!$B$3:$C$8,2,FALSE),VLOOKUP(E39,'Static Data'!$B$3:$C$8,2,FALSE)*2/3+1/3*F39),"")</f>
        <v/>
      </c>
      <c r="K39" s="14">
        <f t="shared" si="1"/>
        <v>0</v>
      </c>
      <c r="L39" s="53">
        <f t="shared" si="2"/>
        <v>0</v>
      </c>
      <c r="M39" s="14" t="str">
        <f>IFERROR(VLOOKUP(E39,'Static Data'!$B$3:$C$8,2,FALSE),"")</f>
        <v/>
      </c>
      <c r="N39" s="14">
        <f t="shared" si="5"/>
        <v>0</v>
      </c>
      <c r="O39" s="14">
        <f t="shared" si="6"/>
        <v>0</v>
      </c>
    </row>
    <row r="40" spans="1:15" x14ac:dyDescent="0.3">
      <c r="A40" s="54"/>
      <c r="B40" s="16"/>
      <c r="C40" s="16"/>
      <c r="D40" s="21"/>
      <c r="E40" s="16"/>
      <c r="F40" s="16"/>
      <c r="G40" s="17">
        <f t="shared" si="3"/>
        <v>0</v>
      </c>
      <c r="H40" s="17">
        <f t="shared" si="4"/>
        <v>0</v>
      </c>
      <c r="I40" s="53">
        <f t="shared" si="0"/>
        <v>0</v>
      </c>
      <c r="J40" s="17" t="str">
        <f>IFERROR(IF(F40="",VLOOKUP(E40,'Static Data'!$B$3:$C$8,2,FALSE),VLOOKUP(E40,'Static Data'!$B$3:$C$8,2,FALSE)*2/3+1/3*F40),"")</f>
        <v/>
      </c>
      <c r="K40" s="14">
        <f t="shared" si="1"/>
        <v>0</v>
      </c>
      <c r="L40" s="53">
        <f t="shared" si="2"/>
        <v>0</v>
      </c>
      <c r="M40" s="14" t="str">
        <f>IFERROR(VLOOKUP(E40,'Static Data'!$B$3:$C$8,2,FALSE),"")</f>
        <v/>
      </c>
      <c r="N40" s="14">
        <f t="shared" si="5"/>
        <v>0</v>
      </c>
      <c r="O40" s="14">
        <f t="shared" si="6"/>
        <v>0</v>
      </c>
    </row>
    <row r="41" spans="1:15" x14ac:dyDescent="0.3">
      <c r="A41" s="54"/>
      <c r="B41" s="16"/>
      <c r="C41" s="16"/>
      <c r="D41" s="21"/>
      <c r="E41" s="16"/>
      <c r="F41" s="16"/>
      <c r="G41" s="17">
        <f t="shared" si="3"/>
        <v>0</v>
      </c>
      <c r="H41" s="17">
        <f t="shared" si="4"/>
        <v>0</v>
      </c>
      <c r="I41" s="53">
        <f t="shared" si="0"/>
        <v>0</v>
      </c>
      <c r="J41" s="17" t="str">
        <f>IFERROR(IF(F41="",VLOOKUP(E41,'Static Data'!$B$3:$C$8,2,FALSE),VLOOKUP(E41,'Static Data'!$B$3:$C$8,2,FALSE)*2/3+1/3*F41),"")</f>
        <v/>
      </c>
      <c r="K41" s="14">
        <f t="shared" si="1"/>
        <v>0</v>
      </c>
      <c r="L41" s="53">
        <f t="shared" si="2"/>
        <v>0</v>
      </c>
      <c r="M41" s="14" t="str">
        <f>IFERROR(VLOOKUP(E41,'Static Data'!$B$3:$C$8,2,FALSE),"")</f>
        <v/>
      </c>
      <c r="N41" s="14">
        <f t="shared" si="5"/>
        <v>0</v>
      </c>
      <c r="O41" s="14">
        <f t="shared" si="6"/>
        <v>0</v>
      </c>
    </row>
    <row r="42" spans="1:15" x14ac:dyDescent="0.3">
      <c r="A42" s="54"/>
      <c r="B42" s="16"/>
      <c r="C42" s="16"/>
      <c r="D42" s="21"/>
      <c r="E42" s="16"/>
      <c r="F42" s="16"/>
      <c r="G42" s="17">
        <f t="shared" si="3"/>
        <v>0</v>
      </c>
      <c r="H42" s="17">
        <f t="shared" si="4"/>
        <v>0</v>
      </c>
      <c r="I42" s="53">
        <f t="shared" ref="I42:I73" si="7">B42-C42</f>
        <v>0</v>
      </c>
      <c r="J42" s="17" t="str">
        <f>IFERROR(IF(F42="",VLOOKUP(E42,'Static Data'!$B$3:$C$8,2,FALSE),VLOOKUP(E42,'Static Data'!$B$3:$C$8,2,FALSE)*2/3+1/3*F42),"")</f>
        <v/>
      </c>
      <c r="K42" s="14">
        <f t="shared" ref="K42:K73" si="8">IFERROR(IF(INDEX($A$10:$A$108,MATCH(MAX($G$10:$G$108),$G$10:$G$108,0))=A42,0,B42*J42),0)</f>
        <v>0</v>
      </c>
      <c r="L42" s="53">
        <f t="shared" ref="L42:L73" si="9">IFERROR(IF(INDEX($A$10:$A$108,MATCH(MAX($H$10:$H$108),$H$10:$H$108,0))=A42,0,I42*J42),0)</f>
        <v>0</v>
      </c>
      <c r="M42" s="14" t="str">
        <f>IFERROR(VLOOKUP(E42,'Static Data'!$B$3:$C$8,2,FALSE),"")</f>
        <v/>
      </c>
      <c r="N42" s="14">
        <f t="shared" si="5"/>
        <v>0</v>
      </c>
      <c r="O42" s="14">
        <f t="shared" si="6"/>
        <v>0</v>
      </c>
    </row>
    <row r="43" spans="1:15" x14ac:dyDescent="0.3">
      <c r="A43" s="54"/>
      <c r="B43" s="16"/>
      <c r="C43" s="16"/>
      <c r="D43" s="21"/>
      <c r="E43" s="16"/>
      <c r="F43" s="16"/>
      <c r="G43" s="17">
        <f t="shared" si="3"/>
        <v>0</v>
      </c>
      <c r="H43" s="17">
        <f t="shared" si="4"/>
        <v>0</v>
      </c>
      <c r="I43" s="53">
        <f t="shared" si="7"/>
        <v>0</v>
      </c>
      <c r="J43" s="17" t="str">
        <f>IFERROR(IF(F43="",VLOOKUP(E43,'Static Data'!$B$3:$C$8,2,FALSE),VLOOKUP(E43,'Static Data'!$B$3:$C$8,2,FALSE)*2/3+1/3*F43),"")</f>
        <v/>
      </c>
      <c r="K43" s="14">
        <f t="shared" si="8"/>
        <v>0</v>
      </c>
      <c r="L43" s="53">
        <f t="shared" si="9"/>
        <v>0</v>
      </c>
      <c r="M43" s="14" t="str">
        <f>IFERROR(VLOOKUP(E43,'Static Data'!$B$3:$C$8,2,FALSE),"")</f>
        <v/>
      </c>
      <c r="N43" s="14">
        <f t="shared" si="5"/>
        <v>0</v>
      </c>
      <c r="O43" s="14">
        <f t="shared" si="6"/>
        <v>0</v>
      </c>
    </row>
    <row r="44" spans="1:15" x14ac:dyDescent="0.3">
      <c r="A44" s="54"/>
      <c r="B44" s="16"/>
      <c r="C44" s="16"/>
      <c r="D44" s="21"/>
      <c r="E44" s="16"/>
      <c r="F44" s="16"/>
      <c r="G44" s="17">
        <f t="shared" si="3"/>
        <v>0</v>
      </c>
      <c r="H44" s="17">
        <f t="shared" si="4"/>
        <v>0</v>
      </c>
      <c r="I44" s="53">
        <f t="shared" si="7"/>
        <v>0</v>
      </c>
      <c r="J44" s="17" t="str">
        <f>IFERROR(IF(F44="",VLOOKUP(E44,'Static Data'!$B$3:$C$8,2,FALSE),VLOOKUP(E44,'Static Data'!$B$3:$C$8,2,FALSE)*2/3+1/3*F44),"")</f>
        <v/>
      </c>
      <c r="K44" s="14">
        <f t="shared" si="8"/>
        <v>0</v>
      </c>
      <c r="L44" s="53">
        <f t="shared" si="9"/>
        <v>0</v>
      </c>
      <c r="M44" s="14" t="str">
        <f>IFERROR(VLOOKUP(E44,'Static Data'!$B$3:$C$8,2,FALSE),"")</f>
        <v/>
      </c>
      <c r="N44" s="14">
        <f t="shared" si="5"/>
        <v>0</v>
      </c>
      <c r="O44" s="14">
        <f t="shared" si="6"/>
        <v>0</v>
      </c>
    </row>
    <row r="45" spans="1:15" x14ac:dyDescent="0.3">
      <c r="A45" s="54"/>
      <c r="B45" s="16"/>
      <c r="C45" s="16"/>
      <c r="D45" s="21"/>
      <c r="E45" s="16"/>
      <c r="F45" s="16"/>
      <c r="G45" s="17">
        <f t="shared" si="3"/>
        <v>0</v>
      </c>
      <c r="H45" s="17">
        <f t="shared" si="4"/>
        <v>0</v>
      </c>
      <c r="I45" s="53">
        <f t="shared" si="7"/>
        <v>0</v>
      </c>
      <c r="J45" s="17" t="str">
        <f>IFERROR(IF(F45="",VLOOKUP(E45,'Static Data'!$B$3:$C$8,2,FALSE),VLOOKUP(E45,'Static Data'!$B$3:$C$8,2,FALSE)*2/3+1/3*F45),"")</f>
        <v/>
      </c>
      <c r="K45" s="14">
        <f t="shared" si="8"/>
        <v>0</v>
      </c>
      <c r="L45" s="53">
        <f t="shared" si="9"/>
        <v>0</v>
      </c>
      <c r="M45" s="14" t="str">
        <f>IFERROR(VLOOKUP(E45,'Static Data'!$B$3:$C$8,2,FALSE),"")</f>
        <v/>
      </c>
      <c r="N45" s="14">
        <f t="shared" si="5"/>
        <v>0</v>
      </c>
      <c r="O45" s="14">
        <f t="shared" si="6"/>
        <v>0</v>
      </c>
    </row>
    <row r="46" spans="1:15" x14ac:dyDescent="0.3">
      <c r="A46" s="54"/>
      <c r="B46" s="16"/>
      <c r="C46" s="16"/>
      <c r="D46" s="21"/>
      <c r="E46" s="16"/>
      <c r="F46" s="16"/>
      <c r="G46" s="17">
        <f t="shared" si="3"/>
        <v>0</v>
      </c>
      <c r="H46" s="17">
        <f t="shared" si="4"/>
        <v>0</v>
      </c>
      <c r="I46" s="53">
        <f t="shared" si="7"/>
        <v>0</v>
      </c>
      <c r="J46" s="17" t="str">
        <f>IFERROR(IF(F46="",VLOOKUP(E46,'Static Data'!$B$3:$C$8,2,FALSE),VLOOKUP(E46,'Static Data'!$B$3:$C$8,2,FALSE)*2/3+1/3*F46),"")</f>
        <v/>
      </c>
      <c r="K46" s="14">
        <f t="shared" si="8"/>
        <v>0</v>
      </c>
      <c r="L46" s="53">
        <f t="shared" si="9"/>
        <v>0</v>
      </c>
      <c r="M46" s="14" t="str">
        <f>IFERROR(VLOOKUP(E46,'Static Data'!$B$3:$C$8,2,FALSE),"")</f>
        <v/>
      </c>
      <c r="N46" s="14">
        <f t="shared" si="5"/>
        <v>0</v>
      </c>
      <c r="O46" s="14">
        <f t="shared" si="6"/>
        <v>0</v>
      </c>
    </row>
    <row r="47" spans="1:15" x14ac:dyDescent="0.3">
      <c r="A47" s="54"/>
      <c r="B47" s="16"/>
      <c r="C47" s="16"/>
      <c r="D47" s="21"/>
      <c r="E47" s="16"/>
      <c r="F47" s="16"/>
      <c r="G47" s="17">
        <f t="shared" si="3"/>
        <v>0</v>
      </c>
      <c r="H47" s="17">
        <f t="shared" si="4"/>
        <v>0</v>
      </c>
      <c r="I47" s="53">
        <f t="shared" si="7"/>
        <v>0</v>
      </c>
      <c r="J47" s="17" t="str">
        <f>IFERROR(IF(F47="",VLOOKUP(E47,'Static Data'!$B$3:$C$8,2,FALSE),VLOOKUP(E47,'Static Data'!$B$3:$C$8,2,FALSE)*2/3+1/3*F47),"")</f>
        <v/>
      </c>
      <c r="K47" s="14">
        <f t="shared" si="8"/>
        <v>0</v>
      </c>
      <c r="L47" s="53">
        <f t="shared" si="9"/>
        <v>0</v>
      </c>
      <c r="M47" s="14" t="str">
        <f>IFERROR(VLOOKUP(E47,'Static Data'!$B$3:$C$8,2,FALSE),"")</f>
        <v/>
      </c>
      <c r="N47" s="14">
        <f t="shared" si="5"/>
        <v>0</v>
      </c>
      <c r="O47" s="14">
        <f t="shared" si="6"/>
        <v>0</v>
      </c>
    </row>
    <row r="48" spans="1:15" x14ac:dyDescent="0.3">
      <c r="A48" s="54"/>
      <c r="B48" s="16"/>
      <c r="C48" s="16"/>
      <c r="D48" s="21"/>
      <c r="E48" s="16"/>
      <c r="F48" s="16"/>
      <c r="G48" s="17">
        <f t="shared" si="3"/>
        <v>0</v>
      </c>
      <c r="H48" s="17">
        <f t="shared" si="4"/>
        <v>0</v>
      </c>
      <c r="I48" s="53">
        <f t="shared" si="7"/>
        <v>0</v>
      </c>
      <c r="J48" s="17" t="str">
        <f>IFERROR(IF(F48="",VLOOKUP(E48,'Static Data'!$B$3:$C$8,2,FALSE),VLOOKUP(E48,'Static Data'!$B$3:$C$8,2,FALSE)*2/3+1/3*F48),"")</f>
        <v/>
      </c>
      <c r="K48" s="14">
        <f t="shared" si="8"/>
        <v>0</v>
      </c>
      <c r="L48" s="53">
        <f t="shared" si="9"/>
        <v>0</v>
      </c>
      <c r="M48" s="14" t="str">
        <f>IFERROR(VLOOKUP(E48,'Static Data'!$B$3:$C$8,2,FALSE),"")</f>
        <v/>
      </c>
      <c r="N48" s="14">
        <f t="shared" si="5"/>
        <v>0</v>
      </c>
      <c r="O48" s="14">
        <f t="shared" si="6"/>
        <v>0</v>
      </c>
    </row>
    <row r="49" spans="1:15" x14ac:dyDescent="0.3">
      <c r="A49" s="54"/>
      <c r="B49" s="16"/>
      <c r="C49" s="16"/>
      <c r="D49" s="21"/>
      <c r="E49" s="16"/>
      <c r="F49" s="16"/>
      <c r="G49" s="17">
        <f t="shared" si="3"/>
        <v>0</v>
      </c>
      <c r="H49" s="17">
        <f t="shared" si="4"/>
        <v>0</v>
      </c>
      <c r="I49" s="53">
        <f t="shared" si="7"/>
        <v>0</v>
      </c>
      <c r="J49" s="17" t="str">
        <f>IFERROR(IF(F49="",VLOOKUP(E49,'Static Data'!$B$3:$C$8,2,FALSE),VLOOKUP(E49,'Static Data'!$B$3:$C$8,2,FALSE)*2/3+1/3*F49),"")</f>
        <v/>
      </c>
      <c r="K49" s="14">
        <f t="shared" si="8"/>
        <v>0</v>
      </c>
      <c r="L49" s="53">
        <f t="shared" si="9"/>
        <v>0</v>
      </c>
      <c r="M49" s="14" t="str">
        <f>IFERROR(VLOOKUP(E49,'Static Data'!$B$3:$C$8,2,FALSE),"")</f>
        <v/>
      </c>
      <c r="N49" s="14">
        <f t="shared" si="5"/>
        <v>0</v>
      </c>
      <c r="O49" s="14">
        <f t="shared" si="6"/>
        <v>0</v>
      </c>
    </row>
    <row r="50" spans="1:15" x14ac:dyDescent="0.3">
      <c r="A50" s="54"/>
      <c r="B50" s="16"/>
      <c r="C50" s="16"/>
      <c r="D50" s="21"/>
      <c r="E50" s="16"/>
      <c r="F50" s="16"/>
      <c r="G50" s="17">
        <f t="shared" si="3"/>
        <v>0</v>
      </c>
      <c r="H50" s="17">
        <f t="shared" si="4"/>
        <v>0</v>
      </c>
      <c r="I50" s="53">
        <f t="shared" si="7"/>
        <v>0</v>
      </c>
      <c r="J50" s="17" t="str">
        <f>IFERROR(IF(F50="",VLOOKUP(E50,'Static Data'!$B$3:$C$8,2,FALSE),VLOOKUP(E50,'Static Data'!$B$3:$C$8,2,FALSE)*2/3+1/3*F50),"")</f>
        <v/>
      </c>
      <c r="K50" s="14">
        <f t="shared" si="8"/>
        <v>0</v>
      </c>
      <c r="L50" s="53">
        <f t="shared" si="9"/>
        <v>0</v>
      </c>
      <c r="M50" s="14" t="str">
        <f>IFERROR(VLOOKUP(E50,'Static Data'!$B$3:$C$8,2,FALSE),"")</f>
        <v/>
      </c>
      <c r="N50" s="14">
        <f t="shared" si="5"/>
        <v>0</v>
      </c>
      <c r="O50" s="14">
        <f t="shared" si="6"/>
        <v>0</v>
      </c>
    </row>
    <row r="51" spans="1:15" x14ac:dyDescent="0.3">
      <c r="A51" s="54"/>
      <c r="B51" s="16"/>
      <c r="C51" s="16"/>
      <c r="D51" s="21"/>
      <c r="E51" s="16"/>
      <c r="F51" s="16"/>
      <c r="G51" s="17">
        <f t="shared" si="3"/>
        <v>0</v>
      </c>
      <c r="H51" s="17">
        <f t="shared" si="4"/>
        <v>0</v>
      </c>
      <c r="I51" s="53">
        <f t="shared" si="7"/>
        <v>0</v>
      </c>
      <c r="J51" s="17" t="str">
        <f>IFERROR(IF(F51="",VLOOKUP(E51,'Static Data'!$B$3:$C$8,2,FALSE),VLOOKUP(E51,'Static Data'!$B$3:$C$8,2,FALSE)*2/3+1/3*F51),"")</f>
        <v/>
      </c>
      <c r="K51" s="14">
        <f t="shared" si="8"/>
        <v>0</v>
      </c>
      <c r="L51" s="53">
        <f t="shared" si="9"/>
        <v>0</v>
      </c>
      <c r="M51" s="14" t="str">
        <f>IFERROR(VLOOKUP(E51,'Static Data'!$B$3:$C$8,2,FALSE),"")</f>
        <v/>
      </c>
      <c r="N51" s="14">
        <f t="shared" si="5"/>
        <v>0</v>
      </c>
      <c r="O51" s="14">
        <f t="shared" si="6"/>
        <v>0</v>
      </c>
    </row>
    <row r="52" spans="1:15" x14ac:dyDescent="0.3">
      <c r="A52" s="54"/>
      <c r="B52" s="16"/>
      <c r="C52" s="16"/>
      <c r="D52" s="21"/>
      <c r="E52" s="16"/>
      <c r="F52" s="16"/>
      <c r="G52" s="17">
        <f t="shared" si="3"/>
        <v>0</v>
      </c>
      <c r="H52" s="17">
        <f t="shared" si="4"/>
        <v>0</v>
      </c>
      <c r="I52" s="53">
        <f t="shared" si="7"/>
        <v>0</v>
      </c>
      <c r="J52" s="17" t="str">
        <f>IFERROR(IF(F52="",VLOOKUP(E52,'Static Data'!$B$3:$C$8,2,FALSE),VLOOKUP(E52,'Static Data'!$B$3:$C$8,2,FALSE)*2/3+1/3*F52),"")</f>
        <v/>
      </c>
      <c r="K52" s="14">
        <f t="shared" si="8"/>
        <v>0</v>
      </c>
      <c r="L52" s="53">
        <f t="shared" si="9"/>
        <v>0</v>
      </c>
      <c r="M52" s="14" t="str">
        <f>IFERROR(VLOOKUP(E52,'Static Data'!$B$3:$C$8,2,FALSE),"")</f>
        <v/>
      </c>
      <c r="N52" s="14">
        <f t="shared" si="5"/>
        <v>0</v>
      </c>
      <c r="O52" s="14">
        <f t="shared" si="6"/>
        <v>0</v>
      </c>
    </row>
    <row r="53" spans="1:15" x14ac:dyDescent="0.3">
      <c r="A53" s="54"/>
      <c r="B53" s="16"/>
      <c r="C53" s="16"/>
      <c r="D53" s="21"/>
      <c r="E53" s="16"/>
      <c r="F53" s="16"/>
      <c r="G53" s="17">
        <f t="shared" si="3"/>
        <v>0</v>
      </c>
      <c r="H53" s="17">
        <f t="shared" si="4"/>
        <v>0</v>
      </c>
      <c r="I53" s="53">
        <f t="shared" si="7"/>
        <v>0</v>
      </c>
      <c r="J53" s="17" t="str">
        <f>IFERROR(IF(F53="",VLOOKUP(E53,'Static Data'!$B$3:$C$8,2,FALSE),VLOOKUP(E53,'Static Data'!$B$3:$C$8,2,FALSE)*2/3+1/3*F53),"")</f>
        <v/>
      </c>
      <c r="K53" s="14">
        <f t="shared" si="8"/>
        <v>0</v>
      </c>
      <c r="L53" s="53">
        <f t="shared" si="9"/>
        <v>0</v>
      </c>
      <c r="M53" s="14" t="str">
        <f>IFERROR(VLOOKUP(E53,'Static Data'!$B$3:$C$8,2,FALSE),"")</f>
        <v/>
      </c>
      <c r="N53" s="14">
        <f t="shared" si="5"/>
        <v>0</v>
      </c>
      <c r="O53" s="14">
        <f t="shared" si="6"/>
        <v>0</v>
      </c>
    </row>
    <row r="54" spans="1:15" x14ac:dyDescent="0.3">
      <c r="A54" s="54"/>
      <c r="B54" s="16"/>
      <c r="C54" s="16"/>
      <c r="D54" s="21"/>
      <c r="E54" s="16"/>
      <c r="F54" s="16"/>
      <c r="G54" s="17">
        <f t="shared" si="3"/>
        <v>0</v>
      </c>
      <c r="H54" s="17">
        <f t="shared" si="4"/>
        <v>0</v>
      </c>
      <c r="I54" s="53">
        <f t="shared" si="7"/>
        <v>0</v>
      </c>
      <c r="J54" s="17" t="str">
        <f>IFERROR(IF(F54="",VLOOKUP(E54,'Static Data'!$B$3:$C$8,2,FALSE),VLOOKUP(E54,'Static Data'!$B$3:$C$8,2,FALSE)*2/3+1/3*F54),"")</f>
        <v/>
      </c>
      <c r="K54" s="14">
        <f t="shared" si="8"/>
        <v>0</v>
      </c>
      <c r="L54" s="53">
        <f t="shared" si="9"/>
        <v>0</v>
      </c>
      <c r="M54" s="14" t="str">
        <f>IFERROR(VLOOKUP(E54,'Static Data'!$B$3:$C$8,2,FALSE),"")</f>
        <v/>
      </c>
      <c r="N54" s="14">
        <f t="shared" si="5"/>
        <v>0</v>
      </c>
      <c r="O54" s="14">
        <f t="shared" si="6"/>
        <v>0</v>
      </c>
    </row>
    <row r="55" spans="1:15" x14ac:dyDescent="0.3">
      <c r="A55" s="54"/>
      <c r="B55" s="16"/>
      <c r="C55" s="16"/>
      <c r="D55" s="21"/>
      <c r="E55" s="16"/>
      <c r="F55" s="16"/>
      <c r="G55" s="17">
        <f t="shared" si="3"/>
        <v>0</v>
      </c>
      <c r="H55" s="17">
        <f t="shared" si="4"/>
        <v>0</v>
      </c>
      <c r="I55" s="53">
        <f t="shared" si="7"/>
        <v>0</v>
      </c>
      <c r="J55" s="17" t="str">
        <f>IFERROR(IF(F55="",VLOOKUP(E55,'Static Data'!$B$3:$C$8,2,FALSE),VLOOKUP(E55,'Static Data'!$B$3:$C$8,2,FALSE)*2/3+1/3*F55),"")</f>
        <v/>
      </c>
      <c r="K55" s="14">
        <f t="shared" si="8"/>
        <v>0</v>
      </c>
      <c r="L55" s="53">
        <f t="shared" si="9"/>
        <v>0</v>
      </c>
      <c r="M55" s="14" t="str">
        <f>IFERROR(VLOOKUP(E55,'Static Data'!$B$3:$C$8,2,FALSE),"")</f>
        <v/>
      </c>
      <c r="N55" s="14">
        <f t="shared" si="5"/>
        <v>0</v>
      </c>
      <c r="O55" s="14">
        <f t="shared" si="6"/>
        <v>0</v>
      </c>
    </row>
    <row r="56" spans="1:15" x14ac:dyDescent="0.3">
      <c r="A56" s="54"/>
      <c r="B56" s="16"/>
      <c r="C56" s="16"/>
      <c r="D56" s="21"/>
      <c r="E56" s="16"/>
      <c r="F56" s="16"/>
      <c r="G56" s="17">
        <f t="shared" si="3"/>
        <v>0</v>
      </c>
      <c r="H56" s="17">
        <f t="shared" si="4"/>
        <v>0</v>
      </c>
      <c r="I56" s="53">
        <f t="shared" si="7"/>
        <v>0</v>
      </c>
      <c r="J56" s="17" t="str">
        <f>IFERROR(IF(F56="",VLOOKUP(E56,'Static Data'!$B$3:$C$8,2,FALSE),VLOOKUP(E56,'Static Data'!$B$3:$C$8,2,FALSE)*2/3+1/3*F56),"")</f>
        <v/>
      </c>
      <c r="K56" s="14">
        <f t="shared" si="8"/>
        <v>0</v>
      </c>
      <c r="L56" s="53">
        <f t="shared" si="9"/>
        <v>0</v>
      </c>
      <c r="M56" s="14" t="str">
        <f>IFERROR(VLOOKUP(E56,'Static Data'!$B$3:$C$8,2,FALSE),"")</f>
        <v/>
      </c>
      <c r="N56" s="14">
        <f t="shared" si="5"/>
        <v>0</v>
      </c>
      <c r="O56" s="14">
        <f t="shared" si="6"/>
        <v>0</v>
      </c>
    </row>
    <row r="57" spans="1:15" x14ac:dyDescent="0.3">
      <c r="A57" s="54"/>
      <c r="B57" s="16"/>
      <c r="C57" s="16"/>
      <c r="D57" s="21"/>
      <c r="E57" s="16"/>
      <c r="F57" s="16"/>
      <c r="G57" s="17">
        <f t="shared" si="3"/>
        <v>0</v>
      </c>
      <c r="H57" s="17">
        <f t="shared" si="4"/>
        <v>0</v>
      </c>
      <c r="I57" s="53">
        <f t="shared" si="7"/>
        <v>0</v>
      </c>
      <c r="J57" s="17" t="str">
        <f>IFERROR(IF(F57="",VLOOKUP(E57,'Static Data'!$B$3:$C$8,2,FALSE),VLOOKUP(E57,'Static Data'!$B$3:$C$8,2,FALSE)*2/3+1/3*F57),"")</f>
        <v/>
      </c>
      <c r="K57" s="14">
        <f t="shared" si="8"/>
        <v>0</v>
      </c>
      <c r="L57" s="53">
        <f t="shared" si="9"/>
        <v>0</v>
      </c>
      <c r="M57" s="14" t="str">
        <f>IFERROR(VLOOKUP(E57,'Static Data'!$B$3:$C$8,2,FALSE),"")</f>
        <v/>
      </c>
      <c r="N57" s="14">
        <f t="shared" si="5"/>
        <v>0</v>
      </c>
      <c r="O57" s="14">
        <f t="shared" si="6"/>
        <v>0</v>
      </c>
    </row>
    <row r="58" spans="1:15" x14ac:dyDescent="0.3">
      <c r="A58" s="54"/>
      <c r="B58" s="16"/>
      <c r="C58" s="16"/>
      <c r="D58" s="21"/>
      <c r="E58" s="16"/>
      <c r="F58" s="16"/>
      <c r="G58" s="17">
        <f t="shared" si="3"/>
        <v>0</v>
      </c>
      <c r="H58" s="17">
        <f t="shared" si="4"/>
        <v>0</v>
      </c>
      <c r="I58" s="53">
        <f t="shared" si="7"/>
        <v>0</v>
      </c>
      <c r="J58" s="17" t="str">
        <f>IFERROR(IF(F58="",VLOOKUP(E58,'Static Data'!$B$3:$C$8,2,FALSE),VLOOKUP(E58,'Static Data'!$B$3:$C$8,2,FALSE)*2/3+1/3*F58),"")</f>
        <v/>
      </c>
      <c r="K58" s="14">
        <f t="shared" si="8"/>
        <v>0</v>
      </c>
      <c r="L58" s="53">
        <f t="shared" si="9"/>
        <v>0</v>
      </c>
      <c r="M58" s="14" t="str">
        <f>IFERROR(VLOOKUP(E58,'Static Data'!$B$3:$C$8,2,FALSE),"")</f>
        <v/>
      </c>
      <c r="N58" s="14">
        <f t="shared" si="5"/>
        <v>0</v>
      </c>
      <c r="O58" s="14">
        <f t="shared" si="6"/>
        <v>0</v>
      </c>
    </row>
    <row r="59" spans="1:15" x14ac:dyDescent="0.3">
      <c r="A59" s="54"/>
      <c r="B59" s="16"/>
      <c r="C59" s="16"/>
      <c r="D59" s="21"/>
      <c r="E59" s="16"/>
      <c r="F59" s="16"/>
      <c r="G59" s="17">
        <f t="shared" si="3"/>
        <v>0</v>
      </c>
      <c r="H59" s="17">
        <f t="shared" si="4"/>
        <v>0</v>
      </c>
      <c r="I59" s="53">
        <f t="shared" si="7"/>
        <v>0</v>
      </c>
      <c r="J59" s="17" t="str">
        <f>IFERROR(IF(F59="",VLOOKUP(E59,'Static Data'!$B$3:$C$8,2,FALSE),VLOOKUP(E59,'Static Data'!$B$3:$C$8,2,FALSE)*2/3+1/3*F59),"")</f>
        <v/>
      </c>
      <c r="K59" s="14">
        <f t="shared" si="8"/>
        <v>0</v>
      </c>
      <c r="L59" s="53">
        <f t="shared" si="9"/>
        <v>0</v>
      </c>
      <c r="M59" s="14" t="str">
        <f>IFERROR(VLOOKUP(E59,'Static Data'!$B$3:$C$8,2,FALSE),"")</f>
        <v/>
      </c>
      <c r="N59" s="14">
        <f t="shared" si="5"/>
        <v>0</v>
      </c>
      <c r="O59" s="14">
        <f t="shared" si="6"/>
        <v>0</v>
      </c>
    </row>
    <row r="60" spans="1:15" x14ac:dyDescent="0.3">
      <c r="A60" s="54"/>
      <c r="B60" s="16"/>
      <c r="C60" s="16"/>
      <c r="D60" s="21"/>
      <c r="E60" s="16"/>
      <c r="F60" s="16"/>
      <c r="G60" s="17">
        <f t="shared" si="3"/>
        <v>0</v>
      </c>
      <c r="H60" s="17">
        <f t="shared" si="4"/>
        <v>0</v>
      </c>
      <c r="I60" s="53">
        <f t="shared" si="7"/>
        <v>0</v>
      </c>
      <c r="J60" s="17" t="str">
        <f>IFERROR(IF(F60="",VLOOKUP(E60,'Static Data'!$B$3:$C$8,2,FALSE),VLOOKUP(E60,'Static Data'!$B$3:$C$8,2,FALSE)*2/3+1/3*F60),"")</f>
        <v/>
      </c>
      <c r="K60" s="14">
        <f t="shared" si="8"/>
        <v>0</v>
      </c>
      <c r="L60" s="53">
        <f t="shared" si="9"/>
        <v>0</v>
      </c>
      <c r="M60" s="14" t="str">
        <f>IFERROR(VLOOKUP(E60,'Static Data'!$B$3:$C$8,2,FALSE),"")</f>
        <v/>
      </c>
      <c r="N60" s="14">
        <f t="shared" si="5"/>
        <v>0</v>
      </c>
      <c r="O60" s="14">
        <f t="shared" si="6"/>
        <v>0</v>
      </c>
    </row>
    <row r="61" spans="1:15" x14ac:dyDescent="0.3">
      <c r="A61" s="54"/>
      <c r="B61" s="16"/>
      <c r="C61" s="16"/>
      <c r="D61" s="21"/>
      <c r="E61" s="16"/>
      <c r="F61" s="16"/>
      <c r="G61" s="17">
        <f t="shared" si="3"/>
        <v>0</v>
      </c>
      <c r="H61" s="17">
        <f t="shared" si="4"/>
        <v>0</v>
      </c>
      <c r="I61" s="53">
        <f t="shared" si="7"/>
        <v>0</v>
      </c>
      <c r="J61" s="17" t="str">
        <f>IFERROR(IF(F61="",VLOOKUP(E61,'Static Data'!$B$3:$C$8,2,FALSE),VLOOKUP(E61,'Static Data'!$B$3:$C$8,2,FALSE)*2/3+1/3*F61),"")</f>
        <v/>
      </c>
      <c r="K61" s="14">
        <f t="shared" si="8"/>
        <v>0</v>
      </c>
      <c r="L61" s="53">
        <f t="shared" si="9"/>
        <v>0</v>
      </c>
      <c r="M61" s="14" t="str">
        <f>IFERROR(VLOOKUP(E61,'Static Data'!$B$3:$C$8,2,FALSE),"")</f>
        <v/>
      </c>
      <c r="N61" s="14">
        <f t="shared" si="5"/>
        <v>0</v>
      </c>
      <c r="O61" s="14">
        <f t="shared" si="6"/>
        <v>0</v>
      </c>
    </row>
    <row r="62" spans="1:15" x14ac:dyDescent="0.3">
      <c r="A62" s="54"/>
      <c r="B62" s="16"/>
      <c r="C62" s="16"/>
      <c r="D62" s="21"/>
      <c r="E62" s="16"/>
      <c r="F62" s="16"/>
      <c r="G62" s="17">
        <f t="shared" si="3"/>
        <v>0</v>
      </c>
      <c r="H62" s="17">
        <f t="shared" si="4"/>
        <v>0</v>
      </c>
      <c r="I62" s="53">
        <f t="shared" si="7"/>
        <v>0</v>
      </c>
      <c r="J62" s="17" t="str">
        <f>IFERROR(IF(F62="",VLOOKUP(E62,'Static Data'!$B$3:$C$8,2,FALSE),VLOOKUP(E62,'Static Data'!$B$3:$C$8,2,FALSE)*2/3+1/3*F62),"")</f>
        <v/>
      </c>
      <c r="K62" s="14">
        <f t="shared" si="8"/>
        <v>0</v>
      </c>
      <c r="L62" s="53">
        <f t="shared" si="9"/>
        <v>0</v>
      </c>
      <c r="M62" s="14" t="str">
        <f>IFERROR(VLOOKUP(E62,'Static Data'!$B$3:$C$8,2,FALSE),"")</f>
        <v/>
      </c>
      <c r="N62" s="14">
        <f t="shared" si="5"/>
        <v>0</v>
      </c>
      <c r="O62" s="14">
        <f t="shared" si="6"/>
        <v>0</v>
      </c>
    </row>
    <row r="63" spans="1:15" x14ac:dyDescent="0.3">
      <c r="A63" s="54"/>
      <c r="B63" s="16"/>
      <c r="C63" s="16"/>
      <c r="D63" s="21"/>
      <c r="E63" s="16"/>
      <c r="F63" s="16"/>
      <c r="G63" s="17">
        <f t="shared" si="3"/>
        <v>0</v>
      </c>
      <c r="H63" s="17">
        <f t="shared" si="4"/>
        <v>0</v>
      </c>
      <c r="I63" s="53">
        <f t="shared" si="7"/>
        <v>0</v>
      </c>
      <c r="J63" s="17" t="str">
        <f>IFERROR(IF(F63="",VLOOKUP(E63,'Static Data'!$B$3:$C$8,2,FALSE),VLOOKUP(E63,'Static Data'!$B$3:$C$8,2,FALSE)*2/3+1/3*F63),"")</f>
        <v/>
      </c>
      <c r="K63" s="14">
        <f t="shared" si="8"/>
        <v>0</v>
      </c>
      <c r="L63" s="53">
        <f t="shared" si="9"/>
        <v>0</v>
      </c>
      <c r="M63" s="14" t="str">
        <f>IFERROR(VLOOKUP(E63,'Static Data'!$B$3:$C$8,2,FALSE),"")</f>
        <v/>
      </c>
      <c r="N63" s="14">
        <f t="shared" si="5"/>
        <v>0</v>
      </c>
      <c r="O63" s="14">
        <f t="shared" si="6"/>
        <v>0</v>
      </c>
    </row>
    <row r="64" spans="1:15" x14ac:dyDescent="0.3">
      <c r="A64" s="54"/>
      <c r="B64" s="16"/>
      <c r="C64" s="16"/>
      <c r="D64" s="21"/>
      <c r="E64" s="16"/>
      <c r="F64" s="16"/>
      <c r="G64" s="17">
        <f t="shared" si="3"/>
        <v>0</v>
      </c>
      <c r="H64" s="17">
        <f t="shared" si="4"/>
        <v>0</v>
      </c>
      <c r="I64" s="53">
        <f t="shared" si="7"/>
        <v>0</v>
      </c>
      <c r="J64" s="17" t="str">
        <f>IFERROR(IF(F64="",VLOOKUP(E64,'Static Data'!$B$3:$C$8,2,FALSE),VLOOKUP(E64,'Static Data'!$B$3:$C$8,2,FALSE)*2/3+1/3*F64),"")</f>
        <v/>
      </c>
      <c r="K64" s="14">
        <f t="shared" si="8"/>
        <v>0</v>
      </c>
      <c r="L64" s="53">
        <f t="shared" si="9"/>
        <v>0</v>
      </c>
      <c r="M64" s="14" t="str">
        <f>IFERROR(VLOOKUP(E64,'Static Data'!$B$3:$C$8,2,FALSE),"")</f>
        <v/>
      </c>
      <c r="N64" s="14">
        <f t="shared" si="5"/>
        <v>0</v>
      </c>
      <c r="O64" s="14">
        <f t="shared" si="6"/>
        <v>0</v>
      </c>
    </row>
    <row r="65" spans="1:15" x14ac:dyDescent="0.3">
      <c r="A65" s="54"/>
      <c r="B65" s="16"/>
      <c r="C65" s="16"/>
      <c r="D65" s="21"/>
      <c r="E65" s="16"/>
      <c r="F65" s="16"/>
      <c r="G65" s="17">
        <f t="shared" si="3"/>
        <v>0</v>
      </c>
      <c r="H65" s="17">
        <f t="shared" si="4"/>
        <v>0</v>
      </c>
      <c r="I65" s="53">
        <f t="shared" si="7"/>
        <v>0</v>
      </c>
      <c r="J65" s="17" t="str">
        <f>IFERROR(IF(F65="",VLOOKUP(E65,'Static Data'!$B$3:$C$8,2,FALSE),VLOOKUP(E65,'Static Data'!$B$3:$C$8,2,FALSE)*2/3+1/3*F65),"")</f>
        <v/>
      </c>
      <c r="K65" s="14">
        <f t="shared" si="8"/>
        <v>0</v>
      </c>
      <c r="L65" s="53">
        <f t="shared" si="9"/>
        <v>0</v>
      </c>
      <c r="M65" s="14" t="str">
        <f>IFERROR(VLOOKUP(E65,'Static Data'!$B$3:$C$8,2,FALSE),"")</f>
        <v/>
      </c>
      <c r="N65" s="14">
        <f t="shared" si="5"/>
        <v>0</v>
      </c>
      <c r="O65" s="14">
        <f t="shared" si="6"/>
        <v>0</v>
      </c>
    </row>
    <row r="66" spans="1:15" x14ac:dyDescent="0.3">
      <c r="A66" s="54"/>
      <c r="B66" s="16"/>
      <c r="C66" s="16"/>
      <c r="D66" s="21"/>
      <c r="E66" s="16"/>
      <c r="F66" s="16"/>
      <c r="G66" s="17">
        <f t="shared" si="3"/>
        <v>0</v>
      </c>
      <c r="H66" s="17">
        <f t="shared" si="4"/>
        <v>0</v>
      </c>
      <c r="I66" s="53">
        <f t="shared" si="7"/>
        <v>0</v>
      </c>
      <c r="J66" s="17" t="str">
        <f>IFERROR(IF(F66="",VLOOKUP(E66,'Static Data'!$B$3:$C$8,2,FALSE),VLOOKUP(E66,'Static Data'!$B$3:$C$8,2,FALSE)*2/3+1/3*F66),"")</f>
        <v/>
      </c>
      <c r="K66" s="14">
        <f t="shared" si="8"/>
        <v>0</v>
      </c>
      <c r="L66" s="53">
        <f t="shared" si="9"/>
        <v>0</v>
      </c>
      <c r="M66" s="14" t="str">
        <f>IFERROR(VLOOKUP(E66,'Static Data'!$B$3:$C$8,2,FALSE),"")</f>
        <v/>
      </c>
      <c r="N66" s="14">
        <f t="shared" si="5"/>
        <v>0</v>
      </c>
      <c r="O66" s="14">
        <f t="shared" si="6"/>
        <v>0</v>
      </c>
    </row>
    <row r="67" spans="1:15" x14ac:dyDescent="0.3">
      <c r="A67" s="54"/>
      <c r="B67" s="16"/>
      <c r="C67" s="16"/>
      <c r="D67" s="21"/>
      <c r="E67" s="16"/>
      <c r="F67" s="16"/>
      <c r="G67" s="17">
        <f t="shared" si="3"/>
        <v>0</v>
      </c>
      <c r="H67" s="17">
        <f t="shared" si="4"/>
        <v>0</v>
      </c>
      <c r="I67" s="53">
        <f t="shared" si="7"/>
        <v>0</v>
      </c>
      <c r="J67" s="17" t="str">
        <f>IFERROR(IF(F67="",VLOOKUP(E67,'Static Data'!$B$3:$C$8,2,FALSE),VLOOKUP(E67,'Static Data'!$B$3:$C$8,2,FALSE)*2/3+1/3*F67),"")</f>
        <v/>
      </c>
      <c r="K67" s="14">
        <f t="shared" si="8"/>
        <v>0</v>
      </c>
      <c r="L67" s="53">
        <f t="shared" si="9"/>
        <v>0</v>
      </c>
      <c r="M67" s="14" t="str">
        <f>IFERROR(VLOOKUP(E67,'Static Data'!$B$3:$C$8,2,FALSE),"")</f>
        <v/>
      </c>
      <c r="N67" s="14">
        <f t="shared" si="5"/>
        <v>0</v>
      </c>
      <c r="O67" s="14">
        <f t="shared" si="6"/>
        <v>0</v>
      </c>
    </row>
    <row r="68" spans="1:15" x14ac:dyDescent="0.3">
      <c r="A68" s="54"/>
      <c r="B68" s="16"/>
      <c r="C68" s="16"/>
      <c r="D68" s="21"/>
      <c r="E68" s="16"/>
      <c r="F68" s="16"/>
      <c r="G68" s="17">
        <f t="shared" si="3"/>
        <v>0</v>
      </c>
      <c r="H68" s="17">
        <f t="shared" si="4"/>
        <v>0</v>
      </c>
      <c r="I68" s="53">
        <f t="shared" si="7"/>
        <v>0</v>
      </c>
      <c r="J68" s="17" t="str">
        <f>IFERROR(IF(F68="",VLOOKUP(E68,'Static Data'!$B$3:$C$8,2,FALSE),VLOOKUP(E68,'Static Data'!$B$3:$C$8,2,FALSE)*2/3+1/3*F68),"")</f>
        <v/>
      </c>
      <c r="K68" s="14">
        <f t="shared" si="8"/>
        <v>0</v>
      </c>
      <c r="L68" s="53">
        <f t="shared" si="9"/>
        <v>0</v>
      </c>
      <c r="M68" s="14" t="str">
        <f>IFERROR(VLOOKUP(E68,'Static Data'!$B$3:$C$8,2,FALSE),"")</f>
        <v/>
      </c>
      <c r="N68" s="14">
        <f t="shared" si="5"/>
        <v>0</v>
      </c>
      <c r="O68" s="14">
        <f t="shared" si="6"/>
        <v>0</v>
      </c>
    </row>
    <row r="69" spans="1:15" x14ac:dyDescent="0.3">
      <c r="A69" s="54"/>
      <c r="B69" s="16"/>
      <c r="C69" s="16"/>
      <c r="D69" s="21"/>
      <c r="E69" s="16"/>
      <c r="F69" s="16"/>
      <c r="G69" s="17">
        <f t="shared" si="3"/>
        <v>0</v>
      </c>
      <c r="H69" s="17">
        <f t="shared" si="4"/>
        <v>0</v>
      </c>
      <c r="I69" s="53">
        <f t="shared" si="7"/>
        <v>0</v>
      </c>
      <c r="J69" s="17" t="str">
        <f>IFERROR(IF(F69="",VLOOKUP(E69,'Static Data'!$B$3:$C$8,2,FALSE),VLOOKUP(E69,'Static Data'!$B$3:$C$8,2,FALSE)*2/3+1/3*F69),"")</f>
        <v/>
      </c>
      <c r="K69" s="14">
        <f t="shared" si="8"/>
        <v>0</v>
      </c>
      <c r="L69" s="53">
        <f t="shared" si="9"/>
        <v>0</v>
      </c>
      <c r="M69" s="14" t="str">
        <f>IFERROR(VLOOKUP(E69,'Static Data'!$B$3:$C$8,2,FALSE),"")</f>
        <v/>
      </c>
      <c r="N69" s="14">
        <f t="shared" si="5"/>
        <v>0</v>
      </c>
      <c r="O69" s="14">
        <f t="shared" si="6"/>
        <v>0</v>
      </c>
    </row>
    <row r="70" spans="1:15" x14ac:dyDescent="0.3">
      <c r="A70" s="54"/>
      <c r="B70" s="16"/>
      <c r="C70" s="16"/>
      <c r="D70" s="21"/>
      <c r="E70" s="16"/>
      <c r="F70" s="16"/>
      <c r="G70" s="17">
        <f t="shared" si="3"/>
        <v>0</v>
      </c>
      <c r="H70" s="17">
        <f t="shared" si="4"/>
        <v>0</v>
      </c>
      <c r="I70" s="53">
        <f t="shared" si="7"/>
        <v>0</v>
      </c>
      <c r="J70" s="17" t="str">
        <f>IFERROR(IF(F70="",VLOOKUP(E70,'Static Data'!$B$3:$C$8,2,FALSE),VLOOKUP(E70,'Static Data'!$B$3:$C$8,2,FALSE)*2/3+1/3*F70),"")</f>
        <v/>
      </c>
      <c r="K70" s="14">
        <f t="shared" si="8"/>
        <v>0</v>
      </c>
      <c r="L70" s="53">
        <f t="shared" si="9"/>
        <v>0</v>
      </c>
      <c r="M70" s="14" t="str">
        <f>IFERROR(VLOOKUP(E70,'Static Data'!$B$3:$C$8,2,FALSE),"")</f>
        <v/>
      </c>
      <c r="N70" s="14">
        <f t="shared" si="5"/>
        <v>0</v>
      </c>
      <c r="O70" s="14">
        <f t="shared" si="6"/>
        <v>0</v>
      </c>
    </row>
    <row r="71" spans="1:15" x14ac:dyDescent="0.3">
      <c r="A71" s="54"/>
      <c r="B71" s="16"/>
      <c r="C71" s="16"/>
      <c r="D71" s="21"/>
      <c r="E71" s="16"/>
      <c r="F71" s="16"/>
      <c r="G71" s="17">
        <f t="shared" si="3"/>
        <v>0</v>
      </c>
      <c r="H71" s="17">
        <f t="shared" si="4"/>
        <v>0</v>
      </c>
      <c r="I71" s="53">
        <f t="shared" si="7"/>
        <v>0</v>
      </c>
      <c r="J71" s="17" t="str">
        <f>IFERROR(IF(F71="",VLOOKUP(E71,'Static Data'!$B$3:$C$8,2,FALSE),VLOOKUP(E71,'Static Data'!$B$3:$C$8,2,FALSE)*2/3+1/3*F71),"")</f>
        <v/>
      </c>
      <c r="K71" s="14">
        <f t="shared" si="8"/>
        <v>0</v>
      </c>
      <c r="L71" s="53">
        <f t="shared" si="9"/>
        <v>0</v>
      </c>
      <c r="M71" s="14" t="str">
        <f>IFERROR(VLOOKUP(E71,'Static Data'!$B$3:$C$8,2,FALSE),"")</f>
        <v/>
      </c>
      <c r="N71" s="14">
        <f t="shared" si="5"/>
        <v>0</v>
      </c>
      <c r="O71" s="14">
        <f t="shared" si="6"/>
        <v>0</v>
      </c>
    </row>
    <row r="72" spans="1:15" x14ac:dyDescent="0.3">
      <c r="A72" s="54"/>
      <c r="B72" s="16"/>
      <c r="C72" s="16"/>
      <c r="D72" s="21"/>
      <c r="E72" s="16"/>
      <c r="F72" s="16"/>
      <c r="G72" s="17">
        <f t="shared" si="3"/>
        <v>0</v>
      </c>
      <c r="H72" s="17">
        <f t="shared" si="4"/>
        <v>0</v>
      </c>
      <c r="I72" s="53">
        <f t="shared" si="7"/>
        <v>0</v>
      </c>
      <c r="J72" s="17" t="str">
        <f>IFERROR(IF(F72="",VLOOKUP(E72,'Static Data'!$B$3:$C$8,2,FALSE),VLOOKUP(E72,'Static Data'!$B$3:$C$8,2,FALSE)*2/3+1/3*F72),"")</f>
        <v/>
      </c>
      <c r="K72" s="14">
        <f t="shared" si="8"/>
        <v>0</v>
      </c>
      <c r="L72" s="53">
        <f t="shared" si="9"/>
        <v>0</v>
      </c>
      <c r="M72" s="14" t="str">
        <f>IFERROR(VLOOKUP(E72,'Static Data'!$B$3:$C$8,2,FALSE),"")</f>
        <v/>
      </c>
      <c r="N72" s="14">
        <f t="shared" si="5"/>
        <v>0</v>
      </c>
      <c r="O72" s="14">
        <f t="shared" si="6"/>
        <v>0</v>
      </c>
    </row>
    <row r="73" spans="1:15" x14ac:dyDescent="0.3">
      <c r="A73" s="54"/>
      <c r="B73" s="16"/>
      <c r="C73" s="16"/>
      <c r="D73" s="21"/>
      <c r="E73" s="16"/>
      <c r="F73" s="16"/>
      <c r="G73" s="17">
        <f t="shared" si="3"/>
        <v>0</v>
      </c>
      <c r="H73" s="17">
        <f t="shared" si="4"/>
        <v>0</v>
      </c>
      <c r="I73" s="53">
        <f t="shared" si="7"/>
        <v>0</v>
      </c>
      <c r="J73" s="17" t="str">
        <f>IFERROR(IF(F73="",VLOOKUP(E73,'Static Data'!$B$3:$C$8,2,FALSE),VLOOKUP(E73,'Static Data'!$B$3:$C$8,2,FALSE)*2/3+1/3*F73),"")</f>
        <v/>
      </c>
      <c r="K73" s="14">
        <f t="shared" si="8"/>
        <v>0</v>
      </c>
      <c r="L73" s="53">
        <f t="shared" si="9"/>
        <v>0</v>
      </c>
      <c r="M73" s="14" t="str">
        <f>IFERROR(VLOOKUP(E73,'Static Data'!$B$3:$C$8,2,FALSE),"")</f>
        <v/>
      </c>
      <c r="N73" s="14">
        <f t="shared" si="5"/>
        <v>0</v>
      </c>
      <c r="O73" s="14">
        <f t="shared" si="6"/>
        <v>0</v>
      </c>
    </row>
    <row r="74" spans="1:15" x14ac:dyDescent="0.3">
      <c r="A74" s="54"/>
      <c r="B74" s="16"/>
      <c r="C74" s="16"/>
      <c r="D74" s="21"/>
      <c r="E74" s="16"/>
      <c r="F74" s="16"/>
      <c r="G74" s="17">
        <f t="shared" si="3"/>
        <v>0</v>
      </c>
      <c r="H74" s="17">
        <f t="shared" si="4"/>
        <v>0</v>
      </c>
      <c r="I74" s="53">
        <f t="shared" ref="I74:I108" si="10">B74-C74</f>
        <v>0</v>
      </c>
      <c r="J74" s="17" t="str">
        <f>IFERROR(IF(F74="",VLOOKUP(E74,'Static Data'!$B$3:$C$8,2,FALSE),VLOOKUP(E74,'Static Data'!$B$3:$C$8,2,FALSE)*2/3+1/3*F74),"")</f>
        <v/>
      </c>
      <c r="K74" s="14">
        <f t="shared" ref="K74:K105" si="11">IFERROR(IF(INDEX($A$10:$A$108,MATCH(MAX($G$10:$G$108),$G$10:$G$108,0))=A74,0,B74*J74),0)</f>
        <v>0</v>
      </c>
      <c r="L74" s="53">
        <f t="shared" ref="L74:L108" si="12">IFERROR(IF(INDEX($A$10:$A$108,MATCH(MAX($H$10:$H$108),$H$10:$H$108,0))=A74,0,I74*J74),0)</f>
        <v>0</v>
      </c>
      <c r="M74" s="14" t="str">
        <f>IFERROR(VLOOKUP(E74,'Static Data'!$B$3:$C$8,2,FALSE),"")</f>
        <v/>
      </c>
      <c r="N74" s="14">
        <f t="shared" si="5"/>
        <v>0</v>
      </c>
      <c r="O74" s="14">
        <f t="shared" si="6"/>
        <v>0</v>
      </c>
    </row>
    <row r="75" spans="1:15" x14ac:dyDescent="0.3">
      <c r="A75" s="54"/>
      <c r="B75" s="16"/>
      <c r="C75" s="16"/>
      <c r="D75" s="21"/>
      <c r="E75" s="16"/>
      <c r="F75" s="16"/>
      <c r="G75" s="17">
        <f t="shared" ref="G75:G108" si="13">SUMIF($A$10:$A$108,A75,$B$10:$B$108)</f>
        <v>0</v>
      </c>
      <c r="H75" s="17">
        <f t="shared" ref="H75:H108" si="14">SUMIF($A$10:$A$108,A75,$B$10:$B$108)-SUMIF($A$10:$A$108,A75,$C$10:$C$108)</f>
        <v>0</v>
      </c>
      <c r="I75" s="53">
        <f t="shared" si="10"/>
        <v>0</v>
      </c>
      <c r="J75" s="17" t="str">
        <f>IFERROR(IF(F75="",VLOOKUP(E75,'Static Data'!$B$3:$C$8,2,FALSE),VLOOKUP(E75,'Static Data'!$B$3:$C$8,2,FALSE)*2/3+1/3*F75),"")</f>
        <v/>
      </c>
      <c r="K75" s="14">
        <f t="shared" si="11"/>
        <v>0</v>
      </c>
      <c r="L75" s="53">
        <f t="shared" si="12"/>
        <v>0</v>
      </c>
      <c r="M75" s="14" t="str">
        <f>IFERROR(VLOOKUP(E75,'Static Data'!$B$3:$C$8,2,FALSE),"")</f>
        <v/>
      </c>
      <c r="N75" s="14">
        <f t="shared" ref="N75:N108" si="15">IFERROR(IF(INDEX($A$10:$A$108,MATCH(MAX($G$10:$G$108),$G$10:$G$108,0))=A75,0,B75*M75),0)</f>
        <v>0</v>
      </c>
      <c r="O75" s="14">
        <f t="shared" ref="O75:O108" si="16">IFERROR(IF(INDEX($A$10:$A$108,MATCH(MAX($H$10:$H$108),$H$10:$H$108,0))=A75,0,I75*M75),0)</f>
        <v>0</v>
      </c>
    </row>
    <row r="76" spans="1:15" x14ac:dyDescent="0.3">
      <c r="A76" s="54"/>
      <c r="B76" s="16"/>
      <c r="C76" s="16"/>
      <c r="D76" s="21"/>
      <c r="E76" s="16"/>
      <c r="F76" s="16"/>
      <c r="G76" s="17">
        <f t="shared" si="13"/>
        <v>0</v>
      </c>
      <c r="H76" s="17">
        <f t="shared" si="14"/>
        <v>0</v>
      </c>
      <c r="I76" s="53">
        <f t="shared" si="10"/>
        <v>0</v>
      </c>
      <c r="J76" s="17" t="str">
        <f>IFERROR(IF(F76="",VLOOKUP(E76,'Static Data'!$B$3:$C$8,2,FALSE),VLOOKUP(E76,'Static Data'!$B$3:$C$8,2,FALSE)*2/3+1/3*F76),"")</f>
        <v/>
      </c>
      <c r="K76" s="14">
        <f t="shared" si="11"/>
        <v>0</v>
      </c>
      <c r="L76" s="53">
        <f t="shared" si="12"/>
        <v>0</v>
      </c>
      <c r="M76" s="14" t="str">
        <f>IFERROR(VLOOKUP(E76,'Static Data'!$B$3:$C$8,2,FALSE),"")</f>
        <v/>
      </c>
      <c r="N76" s="14">
        <f t="shared" si="15"/>
        <v>0</v>
      </c>
      <c r="O76" s="14">
        <f t="shared" si="16"/>
        <v>0</v>
      </c>
    </row>
    <row r="77" spans="1:15" x14ac:dyDescent="0.3">
      <c r="A77" s="54"/>
      <c r="B77" s="16"/>
      <c r="C77" s="16"/>
      <c r="D77" s="21"/>
      <c r="E77" s="16"/>
      <c r="F77" s="16"/>
      <c r="G77" s="17">
        <f t="shared" si="13"/>
        <v>0</v>
      </c>
      <c r="H77" s="17">
        <f t="shared" si="14"/>
        <v>0</v>
      </c>
      <c r="I77" s="53">
        <f t="shared" si="10"/>
        <v>0</v>
      </c>
      <c r="J77" s="17" t="str">
        <f>IFERROR(IF(F77="",VLOOKUP(E77,'Static Data'!$B$3:$C$8,2,FALSE),VLOOKUP(E77,'Static Data'!$B$3:$C$8,2,FALSE)*2/3+1/3*F77),"")</f>
        <v/>
      </c>
      <c r="K77" s="14">
        <f t="shared" si="11"/>
        <v>0</v>
      </c>
      <c r="L77" s="53">
        <f t="shared" si="12"/>
        <v>0</v>
      </c>
      <c r="M77" s="14" t="str">
        <f>IFERROR(VLOOKUP(E77,'Static Data'!$B$3:$C$8,2,FALSE),"")</f>
        <v/>
      </c>
      <c r="N77" s="14">
        <f t="shared" si="15"/>
        <v>0</v>
      </c>
      <c r="O77" s="14">
        <f t="shared" si="16"/>
        <v>0</v>
      </c>
    </row>
    <row r="78" spans="1:15" x14ac:dyDescent="0.3">
      <c r="A78" s="54"/>
      <c r="B78" s="16"/>
      <c r="C78" s="16"/>
      <c r="D78" s="21"/>
      <c r="E78" s="16"/>
      <c r="F78" s="16"/>
      <c r="G78" s="17">
        <f t="shared" si="13"/>
        <v>0</v>
      </c>
      <c r="H78" s="17">
        <f t="shared" si="14"/>
        <v>0</v>
      </c>
      <c r="I78" s="53">
        <f t="shared" si="10"/>
        <v>0</v>
      </c>
      <c r="J78" s="17" t="str">
        <f>IFERROR(IF(F78="",VLOOKUP(E78,'Static Data'!$B$3:$C$8,2,FALSE),VLOOKUP(E78,'Static Data'!$B$3:$C$8,2,FALSE)*2/3+1/3*F78),"")</f>
        <v/>
      </c>
      <c r="K78" s="14">
        <f t="shared" si="11"/>
        <v>0</v>
      </c>
      <c r="L78" s="53">
        <f t="shared" si="12"/>
        <v>0</v>
      </c>
      <c r="M78" s="14" t="str">
        <f>IFERROR(VLOOKUP(E78,'Static Data'!$B$3:$C$8,2,FALSE),"")</f>
        <v/>
      </c>
      <c r="N78" s="14">
        <f t="shared" si="15"/>
        <v>0</v>
      </c>
      <c r="O78" s="14">
        <f t="shared" si="16"/>
        <v>0</v>
      </c>
    </row>
    <row r="79" spans="1:15" x14ac:dyDescent="0.3">
      <c r="A79" s="54"/>
      <c r="B79" s="16"/>
      <c r="C79" s="16"/>
      <c r="D79" s="21"/>
      <c r="E79" s="16"/>
      <c r="F79" s="16"/>
      <c r="G79" s="17">
        <f t="shared" si="13"/>
        <v>0</v>
      </c>
      <c r="H79" s="17">
        <f t="shared" si="14"/>
        <v>0</v>
      </c>
      <c r="I79" s="53">
        <f t="shared" si="10"/>
        <v>0</v>
      </c>
      <c r="J79" s="17" t="str">
        <f>IFERROR(IF(F79="",VLOOKUP(E79,'Static Data'!$B$3:$C$8,2,FALSE),VLOOKUP(E79,'Static Data'!$B$3:$C$8,2,FALSE)*2/3+1/3*F79),"")</f>
        <v/>
      </c>
      <c r="K79" s="14">
        <f t="shared" si="11"/>
        <v>0</v>
      </c>
      <c r="L79" s="53">
        <f t="shared" si="12"/>
        <v>0</v>
      </c>
      <c r="M79" s="14" t="str">
        <f>IFERROR(VLOOKUP(E79,'Static Data'!$B$3:$C$8,2,FALSE),"")</f>
        <v/>
      </c>
      <c r="N79" s="14">
        <f t="shared" si="15"/>
        <v>0</v>
      </c>
      <c r="O79" s="14">
        <f t="shared" si="16"/>
        <v>0</v>
      </c>
    </row>
    <row r="80" spans="1:15" x14ac:dyDescent="0.3">
      <c r="A80" s="54"/>
      <c r="B80" s="16"/>
      <c r="C80" s="16"/>
      <c r="D80" s="21"/>
      <c r="E80" s="16"/>
      <c r="F80" s="16"/>
      <c r="G80" s="17">
        <f t="shared" si="13"/>
        <v>0</v>
      </c>
      <c r="H80" s="17">
        <f t="shared" si="14"/>
        <v>0</v>
      </c>
      <c r="I80" s="53">
        <f t="shared" si="10"/>
        <v>0</v>
      </c>
      <c r="J80" s="17" t="str">
        <f>IFERROR(IF(F80="",VLOOKUP(E80,'Static Data'!$B$3:$C$8,2,FALSE),VLOOKUP(E80,'Static Data'!$B$3:$C$8,2,FALSE)*2/3+1/3*F80),"")</f>
        <v/>
      </c>
      <c r="K80" s="14">
        <f t="shared" si="11"/>
        <v>0</v>
      </c>
      <c r="L80" s="53">
        <f t="shared" si="12"/>
        <v>0</v>
      </c>
      <c r="M80" s="14" t="str">
        <f>IFERROR(VLOOKUP(E80,'Static Data'!$B$3:$C$8,2,FALSE),"")</f>
        <v/>
      </c>
      <c r="N80" s="14">
        <f t="shared" si="15"/>
        <v>0</v>
      </c>
      <c r="O80" s="14">
        <f t="shared" si="16"/>
        <v>0</v>
      </c>
    </row>
    <row r="81" spans="1:15" x14ac:dyDescent="0.3">
      <c r="A81" s="54"/>
      <c r="B81" s="16"/>
      <c r="C81" s="16"/>
      <c r="D81" s="21"/>
      <c r="E81" s="16"/>
      <c r="F81" s="16"/>
      <c r="G81" s="17">
        <f t="shared" si="13"/>
        <v>0</v>
      </c>
      <c r="H81" s="17">
        <f t="shared" si="14"/>
        <v>0</v>
      </c>
      <c r="I81" s="53">
        <f t="shared" si="10"/>
        <v>0</v>
      </c>
      <c r="J81" s="17" t="str">
        <f>IFERROR(IF(F81="",VLOOKUP(E81,'Static Data'!$B$3:$C$8,2,FALSE),VLOOKUP(E81,'Static Data'!$B$3:$C$8,2,FALSE)*2/3+1/3*F81),"")</f>
        <v/>
      </c>
      <c r="K81" s="14">
        <f t="shared" si="11"/>
        <v>0</v>
      </c>
      <c r="L81" s="53">
        <f t="shared" si="12"/>
        <v>0</v>
      </c>
      <c r="M81" s="14" t="str">
        <f>IFERROR(VLOOKUP(E81,'Static Data'!$B$3:$C$8,2,FALSE),"")</f>
        <v/>
      </c>
      <c r="N81" s="14">
        <f t="shared" si="15"/>
        <v>0</v>
      </c>
      <c r="O81" s="14">
        <f t="shared" si="16"/>
        <v>0</v>
      </c>
    </row>
    <row r="82" spans="1:15" x14ac:dyDescent="0.3">
      <c r="A82" s="54"/>
      <c r="B82" s="16"/>
      <c r="C82" s="16"/>
      <c r="D82" s="21"/>
      <c r="E82" s="16"/>
      <c r="F82" s="16"/>
      <c r="G82" s="17">
        <f t="shared" si="13"/>
        <v>0</v>
      </c>
      <c r="H82" s="17">
        <f t="shared" si="14"/>
        <v>0</v>
      </c>
      <c r="I82" s="53">
        <f t="shared" si="10"/>
        <v>0</v>
      </c>
      <c r="J82" s="17" t="str">
        <f>IFERROR(IF(F82="",VLOOKUP(E82,'Static Data'!$B$3:$C$8,2,FALSE),VLOOKUP(E82,'Static Data'!$B$3:$C$8,2,FALSE)*2/3+1/3*F82),"")</f>
        <v/>
      </c>
      <c r="K82" s="14">
        <f t="shared" si="11"/>
        <v>0</v>
      </c>
      <c r="L82" s="53">
        <f t="shared" si="12"/>
        <v>0</v>
      </c>
      <c r="M82" s="14" t="str">
        <f>IFERROR(VLOOKUP(E82,'Static Data'!$B$3:$C$8,2,FALSE),"")</f>
        <v/>
      </c>
      <c r="N82" s="14">
        <f t="shared" si="15"/>
        <v>0</v>
      </c>
      <c r="O82" s="14">
        <f t="shared" si="16"/>
        <v>0</v>
      </c>
    </row>
    <row r="83" spans="1:15" x14ac:dyDescent="0.3">
      <c r="A83" s="54"/>
      <c r="B83" s="16"/>
      <c r="C83" s="16"/>
      <c r="D83" s="21"/>
      <c r="E83" s="16"/>
      <c r="F83" s="16"/>
      <c r="G83" s="17">
        <f t="shared" si="13"/>
        <v>0</v>
      </c>
      <c r="H83" s="17">
        <f t="shared" si="14"/>
        <v>0</v>
      </c>
      <c r="I83" s="53">
        <f t="shared" si="10"/>
        <v>0</v>
      </c>
      <c r="J83" s="17" t="str">
        <f>IFERROR(IF(F83="",VLOOKUP(E83,'Static Data'!$B$3:$C$8,2,FALSE),VLOOKUP(E83,'Static Data'!$B$3:$C$8,2,FALSE)*2/3+1/3*F83),"")</f>
        <v/>
      </c>
      <c r="K83" s="14">
        <f t="shared" si="11"/>
        <v>0</v>
      </c>
      <c r="L83" s="53">
        <f t="shared" si="12"/>
        <v>0</v>
      </c>
      <c r="M83" s="14" t="str">
        <f>IFERROR(VLOOKUP(E83,'Static Data'!$B$3:$C$8,2,FALSE),"")</f>
        <v/>
      </c>
      <c r="N83" s="14">
        <f t="shared" si="15"/>
        <v>0</v>
      </c>
      <c r="O83" s="14">
        <f t="shared" si="16"/>
        <v>0</v>
      </c>
    </row>
    <row r="84" spans="1:15" x14ac:dyDescent="0.3">
      <c r="A84" s="54"/>
      <c r="B84" s="16"/>
      <c r="C84" s="16"/>
      <c r="D84" s="21"/>
      <c r="E84" s="16"/>
      <c r="F84" s="16"/>
      <c r="G84" s="17">
        <f t="shared" si="13"/>
        <v>0</v>
      </c>
      <c r="H84" s="17">
        <f t="shared" si="14"/>
        <v>0</v>
      </c>
      <c r="I84" s="53">
        <f t="shared" si="10"/>
        <v>0</v>
      </c>
      <c r="J84" s="17" t="str">
        <f>IFERROR(IF(F84="",VLOOKUP(E84,'Static Data'!$B$3:$C$8,2,FALSE),VLOOKUP(E84,'Static Data'!$B$3:$C$8,2,FALSE)*2/3+1/3*F84),"")</f>
        <v/>
      </c>
      <c r="K84" s="14">
        <f t="shared" si="11"/>
        <v>0</v>
      </c>
      <c r="L84" s="53">
        <f t="shared" si="12"/>
        <v>0</v>
      </c>
      <c r="M84" s="14" t="str">
        <f>IFERROR(VLOOKUP(E84,'Static Data'!$B$3:$C$8,2,FALSE),"")</f>
        <v/>
      </c>
      <c r="N84" s="14">
        <f t="shared" si="15"/>
        <v>0</v>
      </c>
      <c r="O84" s="14">
        <f t="shared" si="16"/>
        <v>0</v>
      </c>
    </row>
    <row r="85" spans="1:15" x14ac:dyDescent="0.3">
      <c r="A85" s="54"/>
      <c r="B85" s="16"/>
      <c r="C85" s="16"/>
      <c r="D85" s="21"/>
      <c r="E85" s="16"/>
      <c r="F85" s="16"/>
      <c r="G85" s="17">
        <f t="shared" si="13"/>
        <v>0</v>
      </c>
      <c r="H85" s="17">
        <f t="shared" si="14"/>
        <v>0</v>
      </c>
      <c r="I85" s="53">
        <f t="shared" si="10"/>
        <v>0</v>
      </c>
      <c r="J85" s="17" t="str">
        <f>IFERROR(IF(F85="",VLOOKUP(E85,'Static Data'!$B$3:$C$8,2,FALSE),VLOOKUP(E85,'Static Data'!$B$3:$C$8,2,FALSE)*2/3+1/3*F85),"")</f>
        <v/>
      </c>
      <c r="K85" s="14">
        <f t="shared" si="11"/>
        <v>0</v>
      </c>
      <c r="L85" s="53">
        <f t="shared" si="12"/>
        <v>0</v>
      </c>
      <c r="M85" s="14" t="str">
        <f>IFERROR(VLOOKUP(E85,'Static Data'!$B$3:$C$8,2,FALSE),"")</f>
        <v/>
      </c>
      <c r="N85" s="14">
        <f t="shared" si="15"/>
        <v>0</v>
      </c>
      <c r="O85" s="14">
        <f t="shared" si="16"/>
        <v>0</v>
      </c>
    </row>
    <row r="86" spans="1:15" x14ac:dyDescent="0.3">
      <c r="A86" s="54"/>
      <c r="B86" s="16"/>
      <c r="C86" s="16"/>
      <c r="D86" s="21"/>
      <c r="E86" s="16"/>
      <c r="F86" s="16"/>
      <c r="G86" s="17">
        <f t="shared" si="13"/>
        <v>0</v>
      </c>
      <c r="H86" s="17">
        <f t="shared" si="14"/>
        <v>0</v>
      </c>
      <c r="I86" s="53">
        <f t="shared" si="10"/>
        <v>0</v>
      </c>
      <c r="J86" s="17" t="str">
        <f>IFERROR(IF(F86="",VLOOKUP(E86,'Static Data'!$B$3:$C$8,2,FALSE),VLOOKUP(E86,'Static Data'!$B$3:$C$8,2,FALSE)*2/3+1/3*F86),"")</f>
        <v/>
      </c>
      <c r="K86" s="14">
        <f t="shared" si="11"/>
        <v>0</v>
      </c>
      <c r="L86" s="53">
        <f t="shared" si="12"/>
        <v>0</v>
      </c>
      <c r="M86" s="14" t="str">
        <f>IFERROR(VLOOKUP(E86,'Static Data'!$B$3:$C$8,2,FALSE),"")</f>
        <v/>
      </c>
      <c r="N86" s="14">
        <f t="shared" si="15"/>
        <v>0</v>
      </c>
      <c r="O86" s="14">
        <f t="shared" si="16"/>
        <v>0</v>
      </c>
    </row>
    <row r="87" spans="1:15" x14ac:dyDescent="0.3">
      <c r="A87" s="54"/>
      <c r="B87" s="16"/>
      <c r="C87" s="16"/>
      <c r="D87" s="21"/>
      <c r="E87" s="16"/>
      <c r="F87" s="16"/>
      <c r="G87" s="17">
        <f t="shared" si="13"/>
        <v>0</v>
      </c>
      <c r="H87" s="17">
        <f t="shared" si="14"/>
        <v>0</v>
      </c>
      <c r="I87" s="53">
        <f t="shared" si="10"/>
        <v>0</v>
      </c>
      <c r="J87" s="17" t="str">
        <f>IFERROR(IF(F87="",VLOOKUP(E87,'Static Data'!$B$3:$C$8,2,FALSE),VLOOKUP(E87,'Static Data'!$B$3:$C$8,2,FALSE)*2/3+1/3*F87),"")</f>
        <v/>
      </c>
      <c r="K87" s="14">
        <f t="shared" si="11"/>
        <v>0</v>
      </c>
      <c r="L87" s="53">
        <f t="shared" si="12"/>
        <v>0</v>
      </c>
      <c r="M87" s="14" t="str">
        <f>IFERROR(VLOOKUP(E87,'Static Data'!$B$3:$C$8,2,FALSE),"")</f>
        <v/>
      </c>
      <c r="N87" s="14">
        <f t="shared" si="15"/>
        <v>0</v>
      </c>
      <c r="O87" s="14">
        <f t="shared" si="16"/>
        <v>0</v>
      </c>
    </row>
    <row r="88" spans="1:15" x14ac:dyDescent="0.3">
      <c r="A88" s="54"/>
      <c r="B88" s="16"/>
      <c r="C88" s="16"/>
      <c r="D88" s="21"/>
      <c r="E88" s="16"/>
      <c r="F88" s="16"/>
      <c r="G88" s="17">
        <f t="shared" si="13"/>
        <v>0</v>
      </c>
      <c r="H88" s="17">
        <f t="shared" si="14"/>
        <v>0</v>
      </c>
      <c r="I88" s="53">
        <f t="shared" si="10"/>
        <v>0</v>
      </c>
      <c r="J88" s="17" t="str">
        <f>IFERROR(IF(F88="",VLOOKUP(E88,'Static Data'!$B$3:$C$8,2,FALSE),VLOOKUP(E88,'Static Data'!$B$3:$C$8,2,FALSE)*2/3+1/3*F88),"")</f>
        <v/>
      </c>
      <c r="K88" s="14">
        <f t="shared" si="11"/>
        <v>0</v>
      </c>
      <c r="L88" s="53">
        <f t="shared" si="12"/>
        <v>0</v>
      </c>
      <c r="M88" s="14" t="str">
        <f>IFERROR(VLOOKUP(E88,'Static Data'!$B$3:$C$8,2,FALSE),"")</f>
        <v/>
      </c>
      <c r="N88" s="14">
        <f t="shared" si="15"/>
        <v>0</v>
      </c>
      <c r="O88" s="14">
        <f t="shared" si="16"/>
        <v>0</v>
      </c>
    </row>
    <row r="89" spans="1:15" x14ac:dyDescent="0.3">
      <c r="A89" s="54"/>
      <c r="B89" s="16"/>
      <c r="C89" s="16"/>
      <c r="D89" s="21"/>
      <c r="E89" s="16"/>
      <c r="F89" s="16"/>
      <c r="G89" s="17">
        <f t="shared" si="13"/>
        <v>0</v>
      </c>
      <c r="H89" s="17">
        <f t="shared" si="14"/>
        <v>0</v>
      </c>
      <c r="I89" s="53">
        <f t="shared" si="10"/>
        <v>0</v>
      </c>
      <c r="J89" s="17" t="str">
        <f>IFERROR(IF(F89="",VLOOKUP(E89,'Static Data'!$B$3:$C$8,2,FALSE),VLOOKUP(E89,'Static Data'!$B$3:$C$8,2,FALSE)*2/3+1/3*F89),"")</f>
        <v/>
      </c>
      <c r="K89" s="14">
        <f t="shared" si="11"/>
        <v>0</v>
      </c>
      <c r="L89" s="53">
        <f t="shared" si="12"/>
        <v>0</v>
      </c>
      <c r="M89" s="14" t="str">
        <f>IFERROR(VLOOKUP(E89,'Static Data'!$B$3:$C$8,2,FALSE),"")</f>
        <v/>
      </c>
      <c r="N89" s="14">
        <f t="shared" si="15"/>
        <v>0</v>
      </c>
      <c r="O89" s="14">
        <f t="shared" si="16"/>
        <v>0</v>
      </c>
    </row>
    <row r="90" spans="1:15" x14ac:dyDescent="0.3">
      <c r="A90" s="54"/>
      <c r="B90" s="16"/>
      <c r="C90" s="16"/>
      <c r="D90" s="21"/>
      <c r="E90" s="16"/>
      <c r="F90" s="16"/>
      <c r="G90" s="17">
        <f t="shared" si="13"/>
        <v>0</v>
      </c>
      <c r="H90" s="17">
        <f t="shared" si="14"/>
        <v>0</v>
      </c>
      <c r="I90" s="53">
        <f t="shared" si="10"/>
        <v>0</v>
      </c>
      <c r="J90" s="17" t="str">
        <f>IFERROR(IF(F90="",VLOOKUP(E90,'Static Data'!$B$3:$C$8,2,FALSE),VLOOKUP(E90,'Static Data'!$B$3:$C$8,2,FALSE)*2/3+1/3*F90),"")</f>
        <v/>
      </c>
      <c r="K90" s="14">
        <f t="shared" si="11"/>
        <v>0</v>
      </c>
      <c r="L90" s="53">
        <f t="shared" si="12"/>
        <v>0</v>
      </c>
      <c r="M90" s="14" t="str">
        <f>IFERROR(VLOOKUP(E90,'Static Data'!$B$3:$C$8,2,FALSE),"")</f>
        <v/>
      </c>
      <c r="N90" s="14">
        <f t="shared" si="15"/>
        <v>0</v>
      </c>
      <c r="O90" s="14">
        <f t="shared" si="16"/>
        <v>0</v>
      </c>
    </row>
    <row r="91" spans="1:15" x14ac:dyDescent="0.3">
      <c r="A91" s="54"/>
      <c r="B91" s="16"/>
      <c r="C91" s="16"/>
      <c r="D91" s="21"/>
      <c r="E91" s="16"/>
      <c r="F91" s="16"/>
      <c r="G91" s="17">
        <f t="shared" si="13"/>
        <v>0</v>
      </c>
      <c r="H91" s="17">
        <f t="shared" si="14"/>
        <v>0</v>
      </c>
      <c r="I91" s="53">
        <f t="shared" si="10"/>
        <v>0</v>
      </c>
      <c r="J91" s="17" t="str">
        <f>IFERROR(IF(F91="",VLOOKUP(E91,'Static Data'!$B$3:$C$8,2,FALSE),VLOOKUP(E91,'Static Data'!$B$3:$C$8,2,FALSE)*2/3+1/3*F91),"")</f>
        <v/>
      </c>
      <c r="K91" s="14">
        <f t="shared" si="11"/>
        <v>0</v>
      </c>
      <c r="L91" s="53">
        <f t="shared" si="12"/>
        <v>0</v>
      </c>
      <c r="M91" s="14" t="str">
        <f>IFERROR(VLOOKUP(E91,'Static Data'!$B$3:$C$8,2,FALSE),"")</f>
        <v/>
      </c>
      <c r="N91" s="14">
        <f t="shared" si="15"/>
        <v>0</v>
      </c>
      <c r="O91" s="14">
        <f t="shared" si="16"/>
        <v>0</v>
      </c>
    </row>
    <row r="92" spans="1:15" x14ac:dyDescent="0.3">
      <c r="A92" s="54"/>
      <c r="B92" s="16"/>
      <c r="C92" s="16"/>
      <c r="D92" s="21"/>
      <c r="E92" s="16"/>
      <c r="F92" s="16"/>
      <c r="G92" s="17">
        <f t="shared" si="13"/>
        <v>0</v>
      </c>
      <c r="H92" s="17">
        <f t="shared" si="14"/>
        <v>0</v>
      </c>
      <c r="I92" s="53">
        <f t="shared" si="10"/>
        <v>0</v>
      </c>
      <c r="J92" s="17" t="str">
        <f>IFERROR(IF(F92="",VLOOKUP(E92,'Static Data'!$B$3:$C$8,2,FALSE),VLOOKUP(E92,'Static Data'!$B$3:$C$8,2,FALSE)*2/3+1/3*F92),"")</f>
        <v/>
      </c>
      <c r="K92" s="14">
        <f t="shared" si="11"/>
        <v>0</v>
      </c>
      <c r="L92" s="53">
        <f t="shared" si="12"/>
        <v>0</v>
      </c>
      <c r="M92" s="14" t="str">
        <f>IFERROR(VLOOKUP(E92,'Static Data'!$B$3:$C$8,2,FALSE),"")</f>
        <v/>
      </c>
      <c r="N92" s="14">
        <f t="shared" si="15"/>
        <v>0</v>
      </c>
      <c r="O92" s="14">
        <f t="shared" si="16"/>
        <v>0</v>
      </c>
    </row>
    <row r="93" spans="1:15" x14ac:dyDescent="0.3">
      <c r="A93" s="54"/>
      <c r="B93" s="16"/>
      <c r="C93" s="16"/>
      <c r="D93" s="21"/>
      <c r="E93" s="16"/>
      <c r="F93" s="16"/>
      <c r="G93" s="17">
        <f t="shared" si="13"/>
        <v>0</v>
      </c>
      <c r="H93" s="17">
        <f t="shared" si="14"/>
        <v>0</v>
      </c>
      <c r="I93" s="53">
        <f t="shared" si="10"/>
        <v>0</v>
      </c>
      <c r="J93" s="17" t="str">
        <f>IFERROR(IF(F93="",VLOOKUP(E93,'Static Data'!$B$3:$C$8,2,FALSE),VLOOKUP(E93,'Static Data'!$B$3:$C$8,2,FALSE)*2/3+1/3*F93),"")</f>
        <v/>
      </c>
      <c r="K93" s="14">
        <f t="shared" si="11"/>
        <v>0</v>
      </c>
      <c r="L93" s="53">
        <f t="shared" si="12"/>
        <v>0</v>
      </c>
      <c r="M93" s="14" t="str">
        <f>IFERROR(VLOOKUP(E93,'Static Data'!$B$3:$C$8,2,FALSE),"")</f>
        <v/>
      </c>
      <c r="N93" s="14">
        <f t="shared" si="15"/>
        <v>0</v>
      </c>
      <c r="O93" s="14">
        <f t="shared" si="16"/>
        <v>0</v>
      </c>
    </row>
    <row r="94" spans="1:15" x14ac:dyDescent="0.3">
      <c r="A94" s="54"/>
      <c r="B94" s="16"/>
      <c r="C94" s="16"/>
      <c r="D94" s="21"/>
      <c r="E94" s="16"/>
      <c r="F94" s="16"/>
      <c r="G94" s="17">
        <f t="shared" si="13"/>
        <v>0</v>
      </c>
      <c r="H94" s="17">
        <f t="shared" si="14"/>
        <v>0</v>
      </c>
      <c r="I94" s="53">
        <f t="shared" si="10"/>
        <v>0</v>
      </c>
      <c r="J94" s="17" t="str">
        <f>IFERROR(IF(F94="",VLOOKUP(E94,'Static Data'!$B$3:$C$8,2,FALSE),VLOOKUP(E94,'Static Data'!$B$3:$C$8,2,FALSE)*2/3+1/3*F94),"")</f>
        <v/>
      </c>
      <c r="K94" s="14">
        <f t="shared" si="11"/>
        <v>0</v>
      </c>
      <c r="L94" s="53">
        <f t="shared" si="12"/>
        <v>0</v>
      </c>
      <c r="M94" s="14" t="str">
        <f>IFERROR(VLOOKUP(E94,'Static Data'!$B$3:$C$8,2,FALSE),"")</f>
        <v/>
      </c>
      <c r="N94" s="14">
        <f t="shared" si="15"/>
        <v>0</v>
      </c>
      <c r="O94" s="14">
        <f t="shared" si="16"/>
        <v>0</v>
      </c>
    </row>
    <row r="95" spans="1:15" x14ac:dyDescent="0.3">
      <c r="A95" s="54"/>
      <c r="B95" s="16"/>
      <c r="C95" s="16"/>
      <c r="D95" s="21"/>
      <c r="E95" s="16"/>
      <c r="F95" s="16"/>
      <c r="G95" s="17">
        <f t="shared" si="13"/>
        <v>0</v>
      </c>
      <c r="H95" s="17">
        <f t="shared" si="14"/>
        <v>0</v>
      </c>
      <c r="I95" s="53">
        <f t="shared" si="10"/>
        <v>0</v>
      </c>
      <c r="J95" s="17" t="str">
        <f>IFERROR(IF(F95="",VLOOKUP(E95,'Static Data'!$B$3:$C$8,2,FALSE),VLOOKUP(E95,'Static Data'!$B$3:$C$8,2,FALSE)*2/3+1/3*F95),"")</f>
        <v/>
      </c>
      <c r="K95" s="14">
        <f t="shared" si="11"/>
        <v>0</v>
      </c>
      <c r="L95" s="53">
        <f t="shared" si="12"/>
        <v>0</v>
      </c>
      <c r="M95" s="14" t="str">
        <f>IFERROR(VLOOKUP(E95,'Static Data'!$B$3:$C$8,2,FALSE),"")</f>
        <v/>
      </c>
      <c r="N95" s="14">
        <f t="shared" si="15"/>
        <v>0</v>
      </c>
      <c r="O95" s="14">
        <f t="shared" si="16"/>
        <v>0</v>
      </c>
    </row>
    <row r="96" spans="1:15" x14ac:dyDescent="0.3">
      <c r="A96" s="54"/>
      <c r="B96" s="16"/>
      <c r="C96" s="16"/>
      <c r="D96" s="21"/>
      <c r="E96" s="16"/>
      <c r="F96" s="16"/>
      <c r="G96" s="17">
        <f t="shared" si="13"/>
        <v>0</v>
      </c>
      <c r="H96" s="17">
        <f t="shared" si="14"/>
        <v>0</v>
      </c>
      <c r="I96" s="53">
        <f t="shared" si="10"/>
        <v>0</v>
      </c>
      <c r="J96" s="17" t="str">
        <f>IFERROR(IF(F96="",VLOOKUP(E96,'Static Data'!$B$3:$C$8,2,FALSE),VLOOKUP(E96,'Static Data'!$B$3:$C$8,2,FALSE)*2/3+1/3*F96),"")</f>
        <v/>
      </c>
      <c r="K96" s="14">
        <f t="shared" si="11"/>
        <v>0</v>
      </c>
      <c r="L96" s="53">
        <f t="shared" si="12"/>
        <v>0</v>
      </c>
      <c r="M96" s="14" t="str">
        <f>IFERROR(VLOOKUP(E96,'Static Data'!$B$3:$C$8,2,FALSE),"")</f>
        <v/>
      </c>
      <c r="N96" s="14">
        <f t="shared" si="15"/>
        <v>0</v>
      </c>
      <c r="O96" s="14">
        <f t="shared" si="16"/>
        <v>0</v>
      </c>
    </row>
    <row r="97" spans="1:15" x14ac:dyDescent="0.3">
      <c r="A97" s="54"/>
      <c r="B97" s="16"/>
      <c r="C97" s="16"/>
      <c r="D97" s="21"/>
      <c r="E97" s="16"/>
      <c r="F97" s="16"/>
      <c r="G97" s="17">
        <f t="shared" si="13"/>
        <v>0</v>
      </c>
      <c r="H97" s="17">
        <f t="shared" si="14"/>
        <v>0</v>
      </c>
      <c r="I97" s="53">
        <f t="shared" si="10"/>
        <v>0</v>
      </c>
      <c r="J97" s="17" t="str">
        <f>IFERROR(IF(F97="",VLOOKUP(E97,'Static Data'!$B$3:$C$8,2,FALSE),VLOOKUP(E97,'Static Data'!$B$3:$C$8,2,FALSE)*2/3+1/3*F97),"")</f>
        <v/>
      </c>
      <c r="K97" s="14">
        <f t="shared" si="11"/>
        <v>0</v>
      </c>
      <c r="L97" s="53">
        <f t="shared" si="12"/>
        <v>0</v>
      </c>
      <c r="M97" s="14" t="str">
        <f>IFERROR(VLOOKUP(E97,'Static Data'!$B$3:$C$8,2,FALSE),"")</f>
        <v/>
      </c>
      <c r="N97" s="14">
        <f t="shared" si="15"/>
        <v>0</v>
      </c>
      <c r="O97" s="14">
        <f t="shared" si="16"/>
        <v>0</v>
      </c>
    </row>
    <row r="98" spans="1:15" x14ac:dyDescent="0.3">
      <c r="A98" s="54"/>
      <c r="B98" s="16"/>
      <c r="C98" s="16"/>
      <c r="D98" s="21"/>
      <c r="E98" s="16"/>
      <c r="F98" s="16"/>
      <c r="G98" s="17">
        <f t="shared" si="13"/>
        <v>0</v>
      </c>
      <c r="H98" s="17">
        <f t="shared" si="14"/>
        <v>0</v>
      </c>
      <c r="I98" s="53">
        <f t="shared" si="10"/>
        <v>0</v>
      </c>
      <c r="J98" s="17" t="str">
        <f>IFERROR(IF(F98="",VLOOKUP(E98,'Static Data'!$B$3:$C$8,2,FALSE),VLOOKUP(E98,'Static Data'!$B$3:$C$8,2,FALSE)*2/3+1/3*F98),"")</f>
        <v/>
      </c>
      <c r="K98" s="14">
        <f t="shared" si="11"/>
        <v>0</v>
      </c>
      <c r="L98" s="53">
        <f t="shared" si="12"/>
        <v>0</v>
      </c>
      <c r="M98" s="14" t="str">
        <f>IFERROR(VLOOKUP(E98,'Static Data'!$B$3:$C$8,2,FALSE),"")</f>
        <v/>
      </c>
      <c r="N98" s="14">
        <f t="shared" si="15"/>
        <v>0</v>
      </c>
      <c r="O98" s="14">
        <f t="shared" si="16"/>
        <v>0</v>
      </c>
    </row>
    <row r="99" spans="1:15" x14ac:dyDescent="0.3">
      <c r="A99" s="54"/>
      <c r="B99" s="16"/>
      <c r="C99" s="16"/>
      <c r="D99" s="21"/>
      <c r="E99" s="16"/>
      <c r="F99" s="16"/>
      <c r="G99" s="17">
        <f t="shared" si="13"/>
        <v>0</v>
      </c>
      <c r="H99" s="17">
        <f t="shared" si="14"/>
        <v>0</v>
      </c>
      <c r="I99" s="53">
        <f t="shared" si="10"/>
        <v>0</v>
      </c>
      <c r="J99" s="17" t="str">
        <f>IFERROR(IF(F99="",VLOOKUP(E99,'Static Data'!$B$3:$C$8,2,FALSE),VLOOKUP(E99,'Static Data'!$B$3:$C$8,2,FALSE)*2/3+1/3*F99),"")</f>
        <v/>
      </c>
      <c r="K99" s="14">
        <f t="shared" si="11"/>
        <v>0</v>
      </c>
      <c r="L99" s="53">
        <f t="shared" si="12"/>
        <v>0</v>
      </c>
      <c r="M99" s="14" t="str">
        <f>IFERROR(VLOOKUP(E99,'Static Data'!$B$3:$C$8,2,FALSE),"")</f>
        <v/>
      </c>
      <c r="N99" s="14">
        <f t="shared" si="15"/>
        <v>0</v>
      </c>
      <c r="O99" s="14">
        <f t="shared" si="16"/>
        <v>0</v>
      </c>
    </row>
    <row r="100" spans="1:15" x14ac:dyDescent="0.3">
      <c r="A100" s="54"/>
      <c r="B100" s="16"/>
      <c r="C100" s="16"/>
      <c r="D100" s="21"/>
      <c r="E100" s="16"/>
      <c r="F100" s="16"/>
      <c r="G100" s="17">
        <f t="shared" si="13"/>
        <v>0</v>
      </c>
      <c r="H100" s="17">
        <f t="shared" si="14"/>
        <v>0</v>
      </c>
      <c r="I100" s="53">
        <f t="shared" si="10"/>
        <v>0</v>
      </c>
      <c r="J100" s="17" t="str">
        <f>IFERROR(IF(F100="",VLOOKUP(E100,'Static Data'!$B$3:$C$8,2,FALSE),VLOOKUP(E100,'Static Data'!$B$3:$C$8,2,FALSE)*2/3+1/3*F100),"")</f>
        <v/>
      </c>
      <c r="K100" s="14">
        <f t="shared" si="11"/>
        <v>0</v>
      </c>
      <c r="L100" s="53">
        <f t="shared" si="12"/>
        <v>0</v>
      </c>
      <c r="M100" s="14" t="str">
        <f>IFERROR(VLOOKUP(E100,'Static Data'!$B$3:$C$8,2,FALSE),"")</f>
        <v/>
      </c>
      <c r="N100" s="14">
        <f t="shared" si="15"/>
        <v>0</v>
      </c>
      <c r="O100" s="14">
        <f t="shared" si="16"/>
        <v>0</v>
      </c>
    </row>
    <row r="101" spans="1:15" x14ac:dyDescent="0.3">
      <c r="A101" s="54"/>
      <c r="B101" s="16"/>
      <c r="C101" s="16"/>
      <c r="D101" s="21"/>
      <c r="E101" s="16"/>
      <c r="F101" s="16"/>
      <c r="G101" s="17">
        <f t="shared" si="13"/>
        <v>0</v>
      </c>
      <c r="H101" s="17">
        <f t="shared" si="14"/>
        <v>0</v>
      </c>
      <c r="I101" s="53">
        <f t="shared" si="10"/>
        <v>0</v>
      </c>
      <c r="J101" s="17" t="str">
        <f>IFERROR(IF(F101="",VLOOKUP(E101,'Static Data'!$B$3:$C$8,2,FALSE),VLOOKUP(E101,'Static Data'!$B$3:$C$8,2,FALSE)*2/3+1/3*F101),"")</f>
        <v/>
      </c>
      <c r="K101" s="14">
        <f t="shared" si="11"/>
        <v>0</v>
      </c>
      <c r="L101" s="53">
        <f t="shared" si="12"/>
        <v>0</v>
      </c>
      <c r="M101" s="14" t="str">
        <f>IFERROR(VLOOKUP(E101,'Static Data'!$B$3:$C$8,2,FALSE),"")</f>
        <v/>
      </c>
      <c r="N101" s="14">
        <f t="shared" si="15"/>
        <v>0</v>
      </c>
      <c r="O101" s="14">
        <f t="shared" si="16"/>
        <v>0</v>
      </c>
    </row>
    <row r="102" spans="1:15" x14ac:dyDescent="0.3">
      <c r="A102" s="54"/>
      <c r="B102" s="16"/>
      <c r="C102" s="16"/>
      <c r="D102" s="21"/>
      <c r="E102" s="16"/>
      <c r="F102" s="16"/>
      <c r="G102" s="17">
        <f t="shared" si="13"/>
        <v>0</v>
      </c>
      <c r="H102" s="17">
        <f t="shared" si="14"/>
        <v>0</v>
      </c>
      <c r="I102" s="53">
        <f t="shared" si="10"/>
        <v>0</v>
      </c>
      <c r="J102" s="17" t="str">
        <f>IFERROR(IF(F102="",VLOOKUP(E102,'Static Data'!$B$3:$C$8,2,FALSE),VLOOKUP(E102,'Static Data'!$B$3:$C$8,2,FALSE)*2/3+1/3*F102),"")</f>
        <v/>
      </c>
      <c r="K102" s="14">
        <f t="shared" si="11"/>
        <v>0</v>
      </c>
      <c r="L102" s="53">
        <f t="shared" si="12"/>
        <v>0</v>
      </c>
      <c r="M102" s="14" t="str">
        <f>IFERROR(VLOOKUP(E102,'Static Data'!$B$3:$C$8,2,FALSE),"")</f>
        <v/>
      </c>
      <c r="N102" s="14">
        <f t="shared" si="15"/>
        <v>0</v>
      </c>
      <c r="O102" s="14">
        <f t="shared" si="16"/>
        <v>0</v>
      </c>
    </row>
    <row r="103" spans="1:15" x14ac:dyDescent="0.3">
      <c r="A103" s="54"/>
      <c r="B103" s="16"/>
      <c r="C103" s="16"/>
      <c r="D103" s="21"/>
      <c r="E103" s="16"/>
      <c r="F103" s="16"/>
      <c r="G103" s="17">
        <f t="shared" si="13"/>
        <v>0</v>
      </c>
      <c r="H103" s="17">
        <f t="shared" si="14"/>
        <v>0</v>
      </c>
      <c r="I103" s="53">
        <f t="shared" si="10"/>
        <v>0</v>
      </c>
      <c r="J103" s="17" t="str">
        <f>IFERROR(IF(F103="",VLOOKUP(E103,'Static Data'!$B$3:$C$8,2,FALSE),VLOOKUP(E103,'Static Data'!$B$3:$C$8,2,FALSE)*2/3+1/3*F103),"")</f>
        <v/>
      </c>
      <c r="K103" s="14">
        <f t="shared" si="11"/>
        <v>0</v>
      </c>
      <c r="L103" s="53">
        <f t="shared" si="12"/>
        <v>0</v>
      </c>
      <c r="M103" s="14" t="str">
        <f>IFERROR(VLOOKUP(E103,'Static Data'!$B$3:$C$8,2,FALSE),"")</f>
        <v/>
      </c>
      <c r="N103" s="14">
        <f t="shared" si="15"/>
        <v>0</v>
      </c>
      <c r="O103" s="14">
        <f t="shared" si="16"/>
        <v>0</v>
      </c>
    </row>
    <row r="104" spans="1:15" x14ac:dyDescent="0.3">
      <c r="A104" s="54"/>
      <c r="B104" s="16"/>
      <c r="C104" s="16"/>
      <c r="D104" s="21"/>
      <c r="E104" s="16"/>
      <c r="F104" s="16"/>
      <c r="G104" s="17">
        <f t="shared" si="13"/>
        <v>0</v>
      </c>
      <c r="H104" s="17">
        <f t="shared" si="14"/>
        <v>0</v>
      </c>
      <c r="I104" s="53">
        <f t="shared" si="10"/>
        <v>0</v>
      </c>
      <c r="J104" s="17" t="str">
        <f>IFERROR(IF(F104="",VLOOKUP(E104,'Static Data'!$B$3:$C$8,2,FALSE),VLOOKUP(E104,'Static Data'!$B$3:$C$8,2,FALSE)*2/3+1/3*F104),"")</f>
        <v/>
      </c>
      <c r="K104" s="14">
        <f t="shared" si="11"/>
        <v>0</v>
      </c>
      <c r="L104" s="53">
        <f t="shared" si="12"/>
        <v>0</v>
      </c>
      <c r="M104" s="14" t="str">
        <f>IFERROR(VLOOKUP(E104,'Static Data'!$B$3:$C$8,2,FALSE),"")</f>
        <v/>
      </c>
      <c r="N104" s="14">
        <f t="shared" si="15"/>
        <v>0</v>
      </c>
      <c r="O104" s="14">
        <f t="shared" si="16"/>
        <v>0</v>
      </c>
    </row>
    <row r="105" spans="1:15" x14ac:dyDescent="0.3">
      <c r="A105" s="54"/>
      <c r="B105" s="16"/>
      <c r="C105" s="16"/>
      <c r="D105" s="21"/>
      <c r="E105" s="16"/>
      <c r="F105" s="16"/>
      <c r="G105" s="17">
        <f t="shared" si="13"/>
        <v>0</v>
      </c>
      <c r="H105" s="17">
        <f t="shared" si="14"/>
        <v>0</v>
      </c>
      <c r="I105" s="53">
        <f t="shared" si="10"/>
        <v>0</v>
      </c>
      <c r="J105" s="17" t="str">
        <f>IFERROR(IF(F105="",VLOOKUP(E105,'Static Data'!$B$3:$C$8,2,FALSE),VLOOKUP(E105,'Static Data'!$B$3:$C$8,2,FALSE)*2/3+1/3*F105),"")</f>
        <v/>
      </c>
      <c r="K105" s="14">
        <f t="shared" si="11"/>
        <v>0</v>
      </c>
      <c r="L105" s="53">
        <f t="shared" si="12"/>
        <v>0</v>
      </c>
      <c r="M105" s="14" t="str">
        <f>IFERROR(VLOOKUP(E105,'Static Data'!$B$3:$C$8,2,FALSE),"")</f>
        <v/>
      </c>
      <c r="N105" s="14">
        <f t="shared" si="15"/>
        <v>0</v>
      </c>
      <c r="O105" s="14">
        <f t="shared" si="16"/>
        <v>0</v>
      </c>
    </row>
    <row r="106" spans="1:15" x14ac:dyDescent="0.3">
      <c r="A106" s="54"/>
      <c r="B106" s="16"/>
      <c r="C106" s="16"/>
      <c r="D106" s="21"/>
      <c r="E106" s="16"/>
      <c r="F106" s="16"/>
      <c r="G106" s="17">
        <f t="shared" si="13"/>
        <v>0</v>
      </c>
      <c r="H106" s="17">
        <f t="shared" si="14"/>
        <v>0</v>
      </c>
      <c r="I106" s="53">
        <f t="shared" si="10"/>
        <v>0</v>
      </c>
      <c r="J106" s="17" t="str">
        <f>IFERROR(IF(F106="",VLOOKUP(E106,'Static Data'!$B$3:$C$8,2,FALSE),VLOOKUP(E106,'Static Data'!$B$3:$C$8,2,FALSE)*2/3+1/3*F106),"")</f>
        <v/>
      </c>
      <c r="K106" s="14">
        <f t="shared" ref="K106:K108" si="17">IFERROR(IF(INDEX($A$10:$A$108,MATCH(MAX($G$10:$G$108),$G$10:$G$108,0))=A106,0,B106*J106),0)</f>
        <v>0</v>
      </c>
      <c r="L106" s="53">
        <f t="shared" si="12"/>
        <v>0</v>
      </c>
      <c r="M106" s="14" t="str">
        <f>IFERROR(VLOOKUP(E106,'Static Data'!$B$3:$C$8,2,FALSE),"")</f>
        <v/>
      </c>
      <c r="N106" s="14">
        <f t="shared" si="15"/>
        <v>0</v>
      </c>
      <c r="O106" s="14">
        <f t="shared" si="16"/>
        <v>0</v>
      </c>
    </row>
    <row r="107" spans="1:15" x14ac:dyDescent="0.3">
      <c r="A107" s="54"/>
      <c r="B107" s="16"/>
      <c r="C107" s="16"/>
      <c r="D107" s="21"/>
      <c r="E107" s="16"/>
      <c r="F107" s="16"/>
      <c r="G107" s="17">
        <f t="shared" si="13"/>
        <v>0</v>
      </c>
      <c r="H107" s="17">
        <f t="shared" si="14"/>
        <v>0</v>
      </c>
      <c r="I107" s="53">
        <f t="shared" si="10"/>
        <v>0</v>
      </c>
      <c r="J107" s="17" t="str">
        <f>IFERROR(IF(F107="",VLOOKUP(E107,'Static Data'!$B$3:$C$8,2,FALSE),VLOOKUP(E107,'Static Data'!$B$3:$C$8,2,FALSE)*2/3+1/3*F107),"")</f>
        <v/>
      </c>
      <c r="K107" s="14">
        <f t="shared" si="17"/>
        <v>0</v>
      </c>
      <c r="L107" s="53">
        <f t="shared" si="12"/>
        <v>0</v>
      </c>
      <c r="M107" s="14" t="str">
        <f>IFERROR(VLOOKUP(E107,'Static Data'!$B$3:$C$8,2,FALSE),"")</f>
        <v/>
      </c>
      <c r="N107" s="14">
        <f t="shared" si="15"/>
        <v>0</v>
      </c>
      <c r="O107" s="14">
        <f t="shared" si="16"/>
        <v>0</v>
      </c>
    </row>
    <row r="108" spans="1:15" x14ac:dyDescent="0.3">
      <c r="A108" s="54">
        <v>0</v>
      </c>
      <c r="B108" s="16">
        <v>0</v>
      </c>
      <c r="C108" s="16">
        <v>0</v>
      </c>
      <c r="D108" s="21">
        <v>0</v>
      </c>
      <c r="E108" s="16"/>
      <c r="F108" s="16"/>
      <c r="G108" s="17">
        <f t="shared" si="13"/>
        <v>0</v>
      </c>
      <c r="H108" s="17">
        <f t="shared" si="14"/>
        <v>0</v>
      </c>
      <c r="I108" s="53">
        <f t="shared" si="10"/>
        <v>0</v>
      </c>
      <c r="J108" s="17" t="str">
        <f>IFERROR(IF(F108="",VLOOKUP(E108,'Static Data'!$B$3:$C$8,2,FALSE),VLOOKUP(E108,'Static Data'!$B$3:$C$8,2,FALSE)*2/3+1/3*F108),"")</f>
        <v/>
      </c>
      <c r="K108" s="14">
        <f t="shared" si="17"/>
        <v>0</v>
      </c>
      <c r="L108" s="53">
        <f t="shared" si="12"/>
        <v>0</v>
      </c>
      <c r="M108" s="14" t="str">
        <f>IFERROR(VLOOKUP(E108,'Static Data'!$B$3:$C$8,2,FALSE),"")</f>
        <v/>
      </c>
      <c r="N108" s="14">
        <f t="shared" si="15"/>
        <v>0</v>
      </c>
      <c r="O108" s="14">
        <f t="shared" si="16"/>
        <v>0</v>
      </c>
    </row>
  </sheetData>
  <mergeCells count="2">
    <mergeCell ref="J8:L8"/>
    <mergeCell ref="M8:O8"/>
  </mergeCells>
  <conditionalFormatting sqref="L10:M108">
    <cfRule type="cellIs" dxfId="1" priority="2" operator="lessThan">
      <formula>0</formula>
    </cfRule>
  </conditionalFormatting>
  <conditionalFormatting sqref="O10:O108">
    <cfRule type="cellIs" dxfId="0" priority="1" operator="lessThan">
      <formula>0</formula>
    </cfRule>
  </conditionalFormatting>
  <pageMargins left="0.25" right="0.25" top="0.75" bottom="0.75" header="0.3" footer="0.3"/>
  <pageSetup scale="58" fitToHeight="0" orientation="landscape" r:id="rId1"/>
  <headerFooter>
    <oddFooter>&amp;CISO-NE Public</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'Static Data'!$B$3:$B$8</xm:f>
          </x14:formula1>
          <xm:sqref>E10:E108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9" tint="0.79998168889431442"/>
  </sheetPr>
  <dimension ref="A1:AH50"/>
  <sheetViews>
    <sheetView zoomScale="90" zoomScaleNormal="90" workbookViewId="0">
      <selection activeCell="A2" sqref="A2"/>
    </sheetView>
  </sheetViews>
  <sheetFormatPr defaultRowHeight="14.4" x14ac:dyDescent="0.3"/>
  <cols>
    <col min="1" max="1" width="11.6640625" bestFit="1" customWidth="1"/>
    <col min="2" max="2" width="17.77734375" customWidth="1"/>
    <col min="3" max="3" width="19.33203125" bestFit="1" customWidth="1"/>
    <col min="4" max="4" width="9.6640625" customWidth="1"/>
    <col min="5" max="5" width="16.88671875" customWidth="1"/>
    <col min="6" max="6" width="6.5546875" customWidth="1"/>
    <col min="7" max="7" width="8.6640625" customWidth="1"/>
    <col min="8" max="8" width="6.6640625" bestFit="1" customWidth="1"/>
    <col min="9" max="9" width="7.5546875" customWidth="1"/>
    <col min="10" max="10" width="21.88671875" style="4" bestFit="1" customWidth="1"/>
    <col min="12" max="12" width="14.44140625" bestFit="1" customWidth="1"/>
    <col min="13" max="15" width="13.77734375" bestFit="1" customWidth="1"/>
    <col min="16" max="16" width="14.5546875" bestFit="1" customWidth="1"/>
    <col min="18" max="18" width="7" bestFit="1" customWidth="1"/>
    <col min="19" max="19" width="9.44140625" style="4" bestFit="1" customWidth="1"/>
    <col min="20" max="21" width="8.88671875" style="4"/>
    <col min="31" max="34" width="0" hidden="1" customWidth="1"/>
  </cols>
  <sheetData>
    <row r="1" spans="1:34" s="4" customFormat="1" ht="10.8" customHeight="1" x14ac:dyDescent="0.3">
      <c r="L1" s="77" t="s">
        <v>1</v>
      </c>
      <c r="M1" s="77"/>
      <c r="N1" s="77"/>
      <c r="O1" s="77"/>
      <c r="P1" s="77"/>
      <c r="Q1" s="77"/>
      <c r="R1" s="77"/>
    </row>
    <row r="2" spans="1:34" ht="15" thickBot="1" x14ac:dyDescent="0.35">
      <c r="A2" s="12"/>
      <c r="B2" s="45" t="s">
        <v>23</v>
      </c>
      <c r="C2" s="40" t="s">
        <v>22</v>
      </c>
      <c r="D2" s="40" t="s">
        <v>21</v>
      </c>
      <c r="E2" s="40" t="s">
        <v>64</v>
      </c>
      <c r="F2" s="40" t="s">
        <v>9</v>
      </c>
      <c r="G2" s="40" t="s">
        <v>11</v>
      </c>
      <c r="H2" s="40" t="s">
        <v>14</v>
      </c>
      <c r="I2" s="40" t="s">
        <v>16</v>
      </c>
      <c r="J2" s="46" t="s">
        <v>74</v>
      </c>
    </row>
    <row r="3" spans="1:34" x14ac:dyDescent="0.3">
      <c r="A3" s="23">
        <v>43617</v>
      </c>
      <c r="B3" s="41">
        <f t="shared" ref="B3:B50" si="0">(D3*E3*C3*H3*I3)-J3</f>
        <v>-1657286.2750000001</v>
      </c>
      <c r="C3" s="34">
        <f t="shared" ref="C3:C50" si="1">MAX(F3-G3,0.1)</f>
        <v>0.2288787878787879</v>
      </c>
      <c r="D3" s="35">
        <f>IF(OR(AND(MONTH(A3)&gt;8,MONTH(A3)&lt;12),AND(MONTH(A3)&gt;1,MONTH(A3)&lt;6)),'Portfolio Set-up'!$B$1-'Portfolio Set-up'!$B$5,'Portfolio Set-up'!$B$1)</f>
        <v>275</v>
      </c>
      <c r="E3" s="36">
        <f>IF(OR(AND(MONTH(A3)&gt;8,MONTH(A3)&lt;12),AND(MONTH(A3)&gt;1,MONTH(A3)&lt;6)),('Static Data'!$C$13-'Portfolio Set-up'!$B$7)*1000,('Static Data'!$C$13-'Portfolio Set-up'!$B$3)*1000)</f>
        <v>10265.999999999998</v>
      </c>
      <c r="F3" s="35">
        <f>INDEX('Static Data'!$A$19:$C$30,MATCH(MONTH(A3),'Static Data'!$A$19:$A$30,0),3)</f>
        <v>0.84099999999999997</v>
      </c>
      <c r="G3" s="34">
        <f>IF(OR(AND(MONTH(A3)&gt;8,MONTH(A3)&lt;12),AND(MONTH(A3)&gt;1,MONTH(A3)&lt;6)),'Portfolio Set-up'!$B$6,'Portfolio Set-up'!$B$2)</f>
        <v>0.61212121212121207</v>
      </c>
      <c r="H3" s="35">
        <f>INDEX('Static Data'!$A$37:$C$48,MATCH(MONTH(A3),'Static Data'!$A$37:$A$48,0),3)</f>
        <v>2</v>
      </c>
      <c r="I3" s="35">
        <f>IF(YEAR(A3)&lt;2021,'Static Data'!$C$52,1)</f>
        <v>0.75</v>
      </c>
      <c r="J3" s="47">
        <f>'Portfolio Set-up'!$B$1*'Static Data'!$D$12*1000</f>
        <v>2626525</v>
      </c>
      <c r="AE3" t="s">
        <v>35</v>
      </c>
    </row>
    <row r="4" spans="1:34" x14ac:dyDescent="0.3">
      <c r="A4" s="23">
        <v>43633</v>
      </c>
      <c r="B4" s="41">
        <f t="shared" si="0"/>
        <v>-1657286.2750000001</v>
      </c>
      <c r="C4" s="34">
        <f t="shared" si="1"/>
        <v>0.2288787878787879</v>
      </c>
      <c r="D4" s="35">
        <f>IF(OR(AND(MONTH(A4)&gt;8,MONTH(A4)&lt;12),AND(MONTH(A4)&gt;1,MONTH(A4)&lt;6)),'Portfolio Set-up'!$B$1-'Portfolio Set-up'!$B$5,'Portfolio Set-up'!$B$1)</f>
        <v>275</v>
      </c>
      <c r="E4" s="36">
        <f>IF(OR(AND(MONTH(A4)&gt;8,MONTH(A4)&lt;12),AND(MONTH(A4)&gt;1,MONTH(A4)&lt;6)),('Static Data'!$C$13-'Portfolio Set-up'!$B$7)*1000,('Static Data'!$C$13-'Portfolio Set-up'!$B$3)*1000)</f>
        <v>10265.999999999998</v>
      </c>
      <c r="F4" s="35">
        <f>INDEX('Static Data'!$A$19:$C$30,MATCH(MONTH(A4),'Static Data'!$A$19:$A$30,0),3)</f>
        <v>0.84099999999999997</v>
      </c>
      <c r="G4" s="34">
        <f>IF(OR(AND(MONTH(A4)&gt;8,MONTH(A4)&lt;12),AND(MONTH(A4)&gt;1,MONTH(A4)&lt;6)),'Portfolio Set-up'!$B$6,'Portfolio Set-up'!$B$2)</f>
        <v>0.61212121212121207</v>
      </c>
      <c r="H4" s="35">
        <f>INDEX('Static Data'!$A$37:$C$48,MATCH(MONTH(A4),'Static Data'!$A$37:$A$48,0),3)</f>
        <v>2</v>
      </c>
      <c r="I4" s="35">
        <f>IF(YEAR(A4)&lt;2021,'Static Data'!$C$52,1)</f>
        <v>0.75</v>
      </c>
      <c r="J4" s="47">
        <f>J3</f>
        <v>2626525</v>
      </c>
      <c r="P4" s="4"/>
      <c r="Q4" s="4"/>
      <c r="R4" s="4"/>
      <c r="AE4" s="4" t="s">
        <v>5</v>
      </c>
      <c r="AF4" s="5">
        <v>17.728000000000002</v>
      </c>
      <c r="AG4" s="11">
        <v>9.5510000000000002</v>
      </c>
      <c r="AH4" s="10">
        <f>AF4-AG4</f>
        <v>8.1770000000000014</v>
      </c>
    </row>
    <row r="5" spans="1:34" s="4" customFormat="1" x14ac:dyDescent="0.3">
      <c r="A5" s="23">
        <v>43633</v>
      </c>
      <c r="B5" s="41">
        <f t="shared" si="0"/>
        <v>969238.72499999986</v>
      </c>
      <c r="C5" s="34">
        <f t="shared" si="1"/>
        <v>0.2288787878787879</v>
      </c>
      <c r="D5" s="35">
        <f>IF(OR(AND(MONTH(A5)&gt;8,MONTH(A5)&lt;12),AND(MONTH(A5)&gt;1,MONTH(A5)&lt;6)),'Portfolio Set-up'!$B$1-'Portfolio Set-up'!$B$5,'Portfolio Set-up'!$B$1)</f>
        <v>275</v>
      </c>
      <c r="E5" s="36">
        <f>IF(OR(AND(MONTH(A5)&gt;8,MONTH(A5)&lt;12),AND(MONTH(A5)&gt;1,MONTH(A5)&lt;6)),('Static Data'!$C$13-'Portfolio Set-up'!$B$7)*1000,('Static Data'!$C$13-'Portfolio Set-up'!$B$3)*1000)</f>
        <v>10265.999999999998</v>
      </c>
      <c r="F5" s="35">
        <f>INDEX('Static Data'!$A$19:$C$30,MATCH(MONTH(A5),'Static Data'!$A$19:$A$30,0),3)</f>
        <v>0.84099999999999997</v>
      </c>
      <c r="G5" s="34">
        <f>IF(OR(AND(MONTH(A5)&gt;8,MONTH(A5)&lt;12),AND(MONTH(A5)&gt;1,MONTH(A5)&lt;6)),'Portfolio Set-up'!$B$6,'Portfolio Set-up'!$B$2)</f>
        <v>0.61212121212121207</v>
      </c>
      <c r="H5" s="35">
        <f>INDEX('Static Data'!$A$37:$C$48,MATCH(MONTH(A5),'Static Data'!$A$37:$A$48,0),3)</f>
        <v>2</v>
      </c>
      <c r="I5" s="35">
        <f>IF(YEAR(A5)&lt;2021,'Static Data'!$C$52,1)</f>
        <v>0.75</v>
      </c>
      <c r="J5" s="47">
        <v>0</v>
      </c>
      <c r="AE5" s="4" t="s">
        <v>6</v>
      </c>
      <c r="AF5" s="5">
        <v>17.295999999999999</v>
      </c>
      <c r="AG5" s="5">
        <v>7.03</v>
      </c>
      <c r="AH5" s="6">
        <f t="shared" ref="AH5:AH6" si="2">AF5-AG5</f>
        <v>10.265999999999998</v>
      </c>
    </row>
    <row r="6" spans="1:34" x14ac:dyDescent="0.3">
      <c r="A6" s="24">
        <v>43646</v>
      </c>
      <c r="B6" s="42">
        <f t="shared" si="0"/>
        <v>969238.72499999986</v>
      </c>
      <c r="C6" s="37">
        <f t="shared" si="1"/>
        <v>0.2288787878787879</v>
      </c>
      <c r="D6" s="38">
        <f>IF(OR(AND(MONTH(A6)&gt;8,MONTH(A6)&lt;12),AND(MONTH(A6)&gt;1,MONTH(A6)&lt;6)),'Portfolio Set-up'!$B$1-'Portfolio Set-up'!$B$5,'Portfolio Set-up'!$B$1)</f>
        <v>275</v>
      </c>
      <c r="E6" s="39">
        <f>IF(OR(AND(MONTH(A6)&gt;8,MONTH(A6)&lt;12),AND(MONTH(A6)&gt;1,MONTH(A6)&lt;6)),('Static Data'!$C$13-'Portfolio Set-up'!$B$7)*1000,('Static Data'!$C$13-'Portfolio Set-up'!$B$3)*1000)</f>
        <v>10265.999999999998</v>
      </c>
      <c r="F6" s="38">
        <f>INDEX('Static Data'!$A$19:$C$30,MATCH(MONTH(A6),'Static Data'!$A$19:$A$30,0),3)</f>
        <v>0.84099999999999997</v>
      </c>
      <c r="G6" s="37">
        <f>IF(OR(AND(MONTH(A6)&gt;8,MONTH(A6)&lt;12),AND(MONTH(A6)&gt;1,MONTH(A6)&lt;6)),'Portfolio Set-up'!$B$6,'Portfolio Set-up'!$B$2)</f>
        <v>0.61212121212121207</v>
      </c>
      <c r="H6" s="38">
        <f>INDEX('Static Data'!$A$37:$C$48,MATCH(MONTH(A6),'Static Data'!$A$37:$A$48,0),3)</f>
        <v>2</v>
      </c>
      <c r="I6" s="38">
        <f>IF(YEAR(A6)&lt;2021,'Static Data'!$C$52,1)</f>
        <v>0.75</v>
      </c>
      <c r="J6" s="48">
        <v>0</v>
      </c>
      <c r="P6" s="4"/>
      <c r="Q6" s="4"/>
      <c r="R6" s="4"/>
      <c r="AE6" s="4" t="s">
        <v>7</v>
      </c>
      <c r="AF6" s="5">
        <v>18.623999999999999</v>
      </c>
      <c r="AG6" s="5">
        <v>5.2969999999999997</v>
      </c>
      <c r="AH6" s="6">
        <f t="shared" si="2"/>
        <v>13.326999999999998</v>
      </c>
    </row>
    <row r="7" spans="1:34" x14ac:dyDescent="0.3">
      <c r="A7" s="13">
        <v>43647</v>
      </c>
      <c r="B7" s="43">
        <f t="shared" si="0"/>
        <v>-1093889.2641500002</v>
      </c>
      <c r="C7" s="34">
        <f t="shared" si="1"/>
        <v>0.2288787878787879</v>
      </c>
      <c r="D7" s="35">
        <f>IF(OR(AND(MONTH(A7)&gt;8,MONTH(A7)&lt;12),AND(MONTH(A7)&gt;1,MONTH(A7)&lt;6)),'Portfolio Set-up'!$B$1-'Portfolio Set-up'!$B$5,'Portfolio Set-up'!$B$1)</f>
        <v>275</v>
      </c>
      <c r="E7" s="36">
        <f>IF(OR(AND(MONTH(A7)&gt;8,MONTH(A7)&lt;12),AND(MONTH(A7)&gt;1,MONTH(A7)&lt;6)),('Static Data'!$C$13-'Portfolio Set-up'!$B$7)*1000,('Static Data'!$C$13-'Portfolio Set-up'!$B$3)*1000)</f>
        <v>10265.999999999998</v>
      </c>
      <c r="F7" s="35">
        <f>INDEX('Static Data'!$A$19:$C$30,MATCH(MONTH(A7),'Static Data'!$A$19:$A$30,0),3)</f>
        <v>0.84099999999999997</v>
      </c>
      <c r="G7" s="34">
        <f>IF(OR(AND(MONTH(A7)&gt;8,MONTH(A7)&lt;12),AND(MONTH(A7)&gt;1,MONTH(A7)&lt;6)),'Portfolio Set-up'!$B$6,'Portfolio Set-up'!$B$2)</f>
        <v>0.61212121212121207</v>
      </c>
      <c r="H7" s="35">
        <f>INDEX('Static Data'!$A$37:$C$48,MATCH(MONTH(A7),'Static Data'!$A$37:$A$48,0),3)</f>
        <v>1.732</v>
      </c>
      <c r="I7" s="35">
        <f>IF(YEAR(A7)&lt;2021,'Static Data'!$C$52,1)</f>
        <v>0.75</v>
      </c>
      <c r="J7" s="33">
        <f>'Portfolio Set-up'!$B$1*'Portfolio Set-up'!$B$3*1000</f>
        <v>1933250</v>
      </c>
      <c r="P7" s="4"/>
      <c r="Q7" s="4"/>
      <c r="R7" s="4"/>
    </row>
    <row r="8" spans="1:34" s="4" customFormat="1" x14ac:dyDescent="0.3">
      <c r="A8" s="13">
        <v>43661</v>
      </c>
      <c r="B8" s="43">
        <f t="shared" si="0"/>
        <v>-1093889.2641500002</v>
      </c>
      <c r="C8" s="34">
        <f t="shared" si="1"/>
        <v>0.2288787878787879</v>
      </c>
      <c r="D8" s="35">
        <f>IF(OR(AND(MONTH(A8)&gt;8,MONTH(A8)&lt;12),AND(MONTH(A8)&gt;1,MONTH(A8)&lt;6)),'Portfolio Set-up'!$B$1-'Portfolio Set-up'!$B$5,'Portfolio Set-up'!$B$1)</f>
        <v>275</v>
      </c>
      <c r="E8" s="36">
        <f>IF(OR(AND(MONTH(A8)&gt;8,MONTH(A8)&lt;12),AND(MONTH(A8)&gt;1,MONTH(A8)&lt;6)),('Static Data'!$C$13-'Portfolio Set-up'!$B$7)*1000,('Static Data'!$C$13-'Portfolio Set-up'!$B$3)*1000)</f>
        <v>10265.999999999998</v>
      </c>
      <c r="F8" s="35">
        <f>INDEX('Static Data'!$A$19:$C$30,MATCH(MONTH(A8),'Static Data'!$A$19:$A$30,0),3)</f>
        <v>0.84099999999999997</v>
      </c>
      <c r="G8" s="34">
        <f>IF(OR(AND(MONTH(A8)&gt;8,MONTH(A8)&lt;12),AND(MONTH(A8)&gt;1,MONTH(A8)&lt;6)),'Portfolio Set-up'!$B$6,'Portfolio Set-up'!$B$2)</f>
        <v>0.61212121212121207</v>
      </c>
      <c r="H8" s="35">
        <f>INDEX('Static Data'!$A$37:$C$48,MATCH(MONTH(A8),'Static Data'!$A$37:$A$48,0),3)</f>
        <v>1.732</v>
      </c>
      <c r="I8" s="35">
        <f>IF(YEAR(A8)&lt;2021,'Static Data'!$C$52,1)</f>
        <v>0.75</v>
      </c>
      <c r="J8" s="33">
        <f>J7</f>
        <v>1933250</v>
      </c>
    </row>
    <row r="9" spans="1:34" x14ac:dyDescent="0.3">
      <c r="A9" s="13">
        <f>A8</f>
        <v>43661</v>
      </c>
      <c r="B9" s="43">
        <f t="shared" si="0"/>
        <v>839360.73584999994</v>
      </c>
      <c r="C9" s="34">
        <f t="shared" si="1"/>
        <v>0.2288787878787879</v>
      </c>
      <c r="D9" s="35">
        <f>IF(OR(AND(MONTH(A9)&gt;8,MONTH(A9)&lt;12),AND(MONTH(A9)&gt;1,MONTH(A9)&lt;6)),'Portfolio Set-up'!$B$1-'Portfolio Set-up'!$B$5,'Portfolio Set-up'!$B$1)</f>
        <v>275</v>
      </c>
      <c r="E9" s="36">
        <f>IF(OR(AND(MONTH(A9)&gt;8,MONTH(A9)&lt;12),AND(MONTH(A9)&gt;1,MONTH(A9)&lt;6)),('Static Data'!$C$13-'Portfolio Set-up'!$B$7)*1000,('Static Data'!$C$13-'Portfolio Set-up'!$B$3)*1000)</f>
        <v>10265.999999999998</v>
      </c>
      <c r="F9" s="35">
        <f>INDEX('Static Data'!$A$19:$C$30,MATCH(MONTH(A9),'Static Data'!$A$19:$A$30,0),3)</f>
        <v>0.84099999999999997</v>
      </c>
      <c r="G9" s="34">
        <f>IF(OR(AND(MONTH(A9)&gt;8,MONTH(A9)&lt;12),AND(MONTH(A9)&gt;1,MONTH(A9)&lt;6)),'Portfolio Set-up'!$B$6,'Portfolio Set-up'!$B$2)</f>
        <v>0.61212121212121207</v>
      </c>
      <c r="H9" s="35">
        <f>INDEX('Static Data'!$A$37:$C$48,MATCH(MONTH(A9),'Static Data'!$A$37:$A$48,0),3)</f>
        <v>1.732</v>
      </c>
      <c r="I9" s="35">
        <f>IF(YEAR(A9)&lt;2021,'Static Data'!$C$52,1)</f>
        <v>0.75</v>
      </c>
      <c r="J9" s="47">
        <v>0</v>
      </c>
      <c r="P9" s="4"/>
      <c r="Q9" s="4"/>
      <c r="R9" s="4"/>
    </row>
    <row r="10" spans="1:34" x14ac:dyDescent="0.3">
      <c r="A10" s="19">
        <v>43677</v>
      </c>
      <c r="B10" s="44">
        <f t="shared" si="0"/>
        <v>839360.73584999994</v>
      </c>
      <c r="C10" s="37">
        <f t="shared" si="1"/>
        <v>0.2288787878787879</v>
      </c>
      <c r="D10" s="38">
        <f>IF(OR(AND(MONTH(A10)&gt;8,MONTH(A10)&lt;12),AND(MONTH(A10)&gt;1,MONTH(A10)&lt;6)),'Portfolio Set-up'!$B$1-'Portfolio Set-up'!$B$5,'Portfolio Set-up'!$B$1)</f>
        <v>275</v>
      </c>
      <c r="E10" s="39">
        <f>IF(OR(AND(MONTH(A10)&gt;8,MONTH(A10)&lt;12),AND(MONTH(A10)&gt;1,MONTH(A10)&lt;6)),('Static Data'!$C$13-'Portfolio Set-up'!$B$7)*1000,('Static Data'!$C$13-'Portfolio Set-up'!$B$3)*1000)</f>
        <v>10265.999999999998</v>
      </c>
      <c r="F10" s="38">
        <f>INDEX('Static Data'!$A$19:$C$30,MATCH(MONTH(A10),'Static Data'!$A$19:$A$30,0),3)</f>
        <v>0.84099999999999997</v>
      </c>
      <c r="G10" s="37">
        <f>IF(OR(AND(MONTH(A10)&gt;8,MONTH(A10)&lt;12),AND(MONTH(A10)&gt;1,MONTH(A10)&lt;6)),'Portfolio Set-up'!$B$6,'Portfolio Set-up'!$B$2)</f>
        <v>0.61212121212121207</v>
      </c>
      <c r="H10" s="38">
        <f>INDEX('Static Data'!$A$37:$C$48,MATCH(MONTH(A10),'Static Data'!$A$37:$A$48,0),3)</f>
        <v>1.732</v>
      </c>
      <c r="I10" s="38">
        <f>IF(YEAR(A10)&lt;2021,'Static Data'!$C$52,1)</f>
        <v>0.75</v>
      </c>
      <c r="J10" s="48">
        <v>0</v>
      </c>
      <c r="P10" s="4"/>
      <c r="Q10" s="4"/>
      <c r="R10" s="4"/>
    </row>
    <row r="11" spans="1:34" s="4" customFormat="1" x14ac:dyDescent="0.3">
      <c r="A11" s="13">
        <v>43678</v>
      </c>
      <c r="B11" s="43">
        <f t="shared" si="0"/>
        <v>-1247998.2214250001</v>
      </c>
      <c r="C11" s="34">
        <f t="shared" si="1"/>
        <v>0.2288787878787879</v>
      </c>
      <c r="D11" s="35">
        <f>IF(OR(AND(MONTH(A11)&gt;8,MONTH(A11)&lt;12),AND(MONTH(A11)&gt;1,MONTH(A11)&lt;6)),'Portfolio Set-up'!$B$1-'Portfolio Set-up'!$B$5,'Portfolio Set-up'!$B$1)</f>
        <v>275</v>
      </c>
      <c r="E11" s="36">
        <f>IF(OR(AND(MONTH(A11)&gt;8,MONTH(A11)&lt;12),AND(MONTH(A11)&gt;1,MONTH(A11)&lt;6)),('Static Data'!$C$13-'Portfolio Set-up'!$B$7)*1000,('Static Data'!$C$13-'Portfolio Set-up'!$B$3)*1000)</f>
        <v>10265.999999999998</v>
      </c>
      <c r="F11" s="35">
        <f>INDEX('Static Data'!$A$19:$C$30,MATCH(MONTH(A11),'Static Data'!$A$19:$A$30,0),3)</f>
        <v>0.84099999999999997</v>
      </c>
      <c r="G11" s="34">
        <f>IF(OR(AND(MONTH(A11)&gt;8,MONTH(A11)&lt;12),AND(MONTH(A11)&gt;1,MONTH(A11)&lt;6)),'Portfolio Set-up'!$B$6,'Portfolio Set-up'!$B$2)</f>
        <v>0.61212121212121207</v>
      </c>
      <c r="H11" s="35">
        <f>INDEX('Static Data'!$A$37:$C$48,MATCH(MONTH(A11),'Static Data'!$A$37:$A$48,0),3)</f>
        <v>1.4139999999999999</v>
      </c>
      <c r="I11" s="35">
        <f>IF(YEAR(A11)&lt;2021,'Static Data'!$C$52,1)</f>
        <v>0.75</v>
      </c>
      <c r="J11" s="33">
        <f>'Portfolio Set-up'!$B$1*'Portfolio Set-up'!$B$3*1000</f>
        <v>1933250</v>
      </c>
    </row>
    <row r="12" spans="1:34" x14ac:dyDescent="0.3">
      <c r="A12" s="13">
        <v>43689</v>
      </c>
      <c r="B12" s="43">
        <f t="shared" si="0"/>
        <v>-1247998.2214250001</v>
      </c>
      <c r="C12" s="34">
        <f t="shared" si="1"/>
        <v>0.2288787878787879</v>
      </c>
      <c r="D12" s="35">
        <f>IF(OR(AND(MONTH(A12)&gt;8,MONTH(A12)&lt;12),AND(MONTH(A12)&gt;1,MONTH(A12)&lt;6)),'Portfolio Set-up'!$B$1-'Portfolio Set-up'!$B$5,'Portfolio Set-up'!$B$1)</f>
        <v>275</v>
      </c>
      <c r="E12" s="36">
        <f>IF(OR(AND(MONTH(A12)&gt;8,MONTH(A12)&lt;12),AND(MONTH(A12)&gt;1,MONTH(A12)&lt;6)),('Static Data'!$C$13-'Portfolio Set-up'!$B$7)*1000,('Static Data'!$C$13-'Portfolio Set-up'!$B$3)*1000)</f>
        <v>10265.999999999998</v>
      </c>
      <c r="F12" s="35">
        <f>INDEX('Static Data'!$A$19:$C$30,MATCH(MONTH(A12),'Static Data'!$A$19:$A$30,0),3)</f>
        <v>0.84099999999999997</v>
      </c>
      <c r="G12" s="34">
        <f>IF(OR(AND(MONTH(A12)&gt;8,MONTH(A12)&lt;12),AND(MONTH(A12)&gt;1,MONTH(A12)&lt;6)),'Portfolio Set-up'!$B$6,'Portfolio Set-up'!$B$2)</f>
        <v>0.61212121212121207</v>
      </c>
      <c r="H12" s="35">
        <f>INDEX('Static Data'!$A$37:$C$48,MATCH(MONTH(A12),'Static Data'!$A$37:$A$48,0),3)</f>
        <v>1.4139999999999999</v>
      </c>
      <c r="I12" s="35">
        <f>IF(YEAR(A12)&lt;2021,'Static Data'!$C$52,1)</f>
        <v>0.75</v>
      </c>
      <c r="J12" s="33">
        <f>J11</f>
        <v>1933250</v>
      </c>
    </row>
    <row r="13" spans="1:34" x14ac:dyDescent="0.3">
      <c r="A13" s="13">
        <f>A12</f>
        <v>43689</v>
      </c>
      <c r="B13" s="43">
        <f t="shared" si="0"/>
        <v>685251.77857499989</v>
      </c>
      <c r="C13" s="34">
        <f t="shared" si="1"/>
        <v>0.2288787878787879</v>
      </c>
      <c r="D13" s="35">
        <f>IF(OR(AND(MONTH(A13)&gt;8,MONTH(A13)&lt;12),AND(MONTH(A13)&gt;1,MONTH(A13)&lt;6)),'Portfolio Set-up'!$B$1-'Portfolio Set-up'!$B$5,'Portfolio Set-up'!$B$1)</f>
        <v>275</v>
      </c>
      <c r="E13" s="36">
        <f>IF(OR(AND(MONTH(A13)&gt;8,MONTH(A13)&lt;12),AND(MONTH(A13)&gt;1,MONTH(A13)&lt;6)),('Static Data'!$C$13-'Portfolio Set-up'!$B$7)*1000,('Static Data'!$C$13-'Portfolio Set-up'!$B$3)*1000)</f>
        <v>10265.999999999998</v>
      </c>
      <c r="F13" s="35">
        <f>INDEX('Static Data'!$A$19:$C$30,MATCH(MONTH(A13),'Static Data'!$A$19:$A$30,0),3)</f>
        <v>0.84099999999999997</v>
      </c>
      <c r="G13" s="34">
        <f>IF(OR(AND(MONTH(A13)&gt;8,MONTH(A13)&lt;12),AND(MONTH(A13)&gt;1,MONTH(A13)&lt;6)),'Portfolio Set-up'!$B$6,'Portfolio Set-up'!$B$2)</f>
        <v>0.61212121212121207</v>
      </c>
      <c r="H13" s="35">
        <f>INDEX('Static Data'!$A$37:$C$48,MATCH(MONTH(A13),'Static Data'!$A$37:$A$48,0),3)</f>
        <v>1.4139999999999999</v>
      </c>
      <c r="I13" s="35">
        <f>IF(YEAR(A13)&lt;2021,'Static Data'!$C$52,1)</f>
        <v>0.75</v>
      </c>
      <c r="J13" s="47">
        <v>0</v>
      </c>
    </row>
    <row r="14" spans="1:34" x14ac:dyDescent="0.3">
      <c r="A14" s="19">
        <v>43708</v>
      </c>
      <c r="B14" s="44">
        <f t="shared" si="0"/>
        <v>685251.77857499989</v>
      </c>
      <c r="C14" s="37">
        <f t="shared" si="1"/>
        <v>0.2288787878787879</v>
      </c>
      <c r="D14" s="38">
        <f>IF(OR(AND(MONTH(A14)&gt;8,MONTH(A14)&lt;12),AND(MONTH(A14)&gt;1,MONTH(A14)&lt;6)),'Portfolio Set-up'!$B$1-'Portfolio Set-up'!$B$5,'Portfolio Set-up'!$B$1)</f>
        <v>275</v>
      </c>
      <c r="E14" s="39">
        <f>IF(OR(AND(MONTH(A14)&gt;8,MONTH(A14)&lt;12),AND(MONTH(A14)&gt;1,MONTH(A14)&lt;6)),('Static Data'!$C$13-'Portfolio Set-up'!$B$7)*1000,('Static Data'!$C$13-'Portfolio Set-up'!$B$3)*1000)</f>
        <v>10265.999999999998</v>
      </c>
      <c r="F14" s="38">
        <f>INDEX('Static Data'!$A$19:$C$30,MATCH(MONTH(A14),'Static Data'!$A$19:$A$30,0),3)</f>
        <v>0.84099999999999997</v>
      </c>
      <c r="G14" s="37">
        <f>IF(OR(AND(MONTH(A14)&gt;8,MONTH(A14)&lt;12),AND(MONTH(A14)&gt;1,MONTH(A14)&lt;6)),'Portfolio Set-up'!$B$6,'Portfolio Set-up'!$B$2)</f>
        <v>0.61212121212121207</v>
      </c>
      <c r="H14" s="38">
        <f>INDEX('Static Data'!$A$37:$C$48,MATCH(MONTH(A14),'Static Data'!$A$37:$A$48,0),3)</f>
        <v>1.4139999999999999</v>
      </c>
      <c r="I14" s="38">
        <f>IF(YEAR(A14)&lt;2021,'Static Data'!$C$52,1)</f>
        <v>0.75</v>
      </c>
      <c r="J14" s="48">
        <v>0</v>
      </c>
    </row>
    <row r="15" spans="1:34" x14ac:dyDescent="0.3">
      <c r="A15" s="13">
        <v>43709</v>
      </c>
      <c r="B15" s="43">
        <f t="shared" si="0"/>
        <v>-1393540.7150000001</v>
      </c>
      <c r="C15" s="34">
        <f t="shared" si="1"/>
        <v>0.30476811594202902</v>
      </c>
      <c r="D15" s="35">
        <f>IF(OR(AND(MONTH(A15)&gt;8,MONTH(A15)&lt;12),AND(MONTH(A15)&gt;1,MONTH(A15)&lt;6)),'Portfolio Set-up'!$B$1-'Portfolio Set-up'!$B$5,'Portfolio Set-up'!$B$1)</f>
        <v>230</v>
      </c>
      <c r="E15" s="36">
        <f>IF(OR(AND(MONTH(A15)&gt;8,MONTH(A15)&lt;12),AND(MONTH(A15)&gt;1,MONTH(A15)&lt;6)),('Static Data'!$C$13-'Portfolio Set-up'!$B$7)*1000,('Static Data'!$C$13-'Portfolio Set-up'!$B$3)*1000)</f>
        <v>10265.999999999998</v>
      </c>
      <c r="F15" s="35">
        <f>INDEX('Static Data'!$A$19:$C$30,MATCH(MONTH(A15),'Static Data'!$A$19:$A$30,0),3)</f>
        <v>0.84099999999999997</v>
      </c>
      <c r="G15" s="34">
        <f>IF(OR(AND(MONTH(A15)&gt;8,MONTH(A15)&lt;12),AND(MONTH(A15)&gt;1,MONTH(A15)&lt;6)),'Portfolio Set-up'!$B$6,'Portfolio Set-up'!$B$2)</f>
        <v>0.53623188405797095</v>
      </c>
      <c r="H15" s="35">
        <f>INDEX('Static Data'!$A$37:$C$48,MATCH(MONTH(A15),'Static Data'!$A$37:$A$48,0),3)</f>
        <v>1</v>
      </c>
      <c r="I15" s="35">
        <f>IF(YEAR(A15)&lt;2021,'Static Data'!$C$52,1)</f>
        <v>0.75</v>
      </c>
      <c r="J15" s="33">
        <f>'Portfolio Set-up'!$B$1*'Portfolio Set-up'!$B$3*1000</f>
        <v>1933250</v>
      </c>
    </row>
    <row r="16" spans="1:34" x14ac:dyDescent="0.3">
      <c r="A16" s="13">
        <v>43724</v>
      </c>
      <c r="B16" s="43">
        <f t="shared" si="0"/>
        <v>-1393540.7150000001</v>
      </c>
      <c r="C16" s="34">
        <f t="shared" si="1"/>
        <v>0.30476811594202902</v>
      </c>
      <c r="D16" s="35">
        <f>IF(OR(AND(MONTH(A16)&gt;8,MONTH(A16)&lt;12),AND(MONTH(A16)&gt;1,MONTH(A16)&lt;6)),'Portfolio Set-up'!$B$1-'Portfolio Set-up'!$B$5,'Portfolio Set-up'!$B$1)</f>
        <v>230</v>
      </c>
      <c r="E16" s="36">
        <f>IF(OR(AND(MONTH(A16)&gt;8,MONTH(A16)&lt;12),AND(MONTH(A16)&gt;1,MONTH(A16)&lt;6)),('Static Data'!$C$13-'Portfolio Set-up'!$B$7)*1000,('Static Data'!$C$13-'Portfolio Set-up'!$B$3)*1000)</f>
        <v>10265.999999999998</v>
      </c>
      <c r="F16" s="35">
        <f>INDEX('Static Data'!$A$19:$C$30,MATCH(MONTH(A16),'Static Data'!$A$19:$A$30,0),3)</f>
        <v>0.84099999999999997</v>
      </c>
      <c r="G16" s="34">
        <f>IF(OR(AND(MONTH(A16)&gt;8,MONTH(A16)&lt;12),AND(MONTH(A16)&gt;1,MONTH(A16)&lt;6)),'Portfolio Set-up'!$B$6,'Portfolio Set-up'!$B$2)</f>
        <v>0.53623188405797095</v>
      </c>
      <c r="H16" s="35">
        <f>INDEX('Static Data'!$A$37:$C$48,MATCH(MONTH(A16),'Static Data'!$A$37:$A$48,0),3)</f>
        <v>1</v>
      </c>
      <c r="I16" s="35">
        <f>IF(YEAR(A16)&lt;2021,'Static Data'!$C$52,1)</f>
        <v>0.75</v>
      </c>
      <c r="J16" s="33">
        <f>J15</f>
        <v>1933250</v>
      </c>
    </row>
    <row r="17" spans="1:15" x14ac:dyDescent="0.3">
      <c r="A17" s="13">
        <f>A16</f>
        <v>43724</v>
      </c>
      <c r="B17" s="43">
        <f t="shared" si="0"/>
        <v>539709.28499999992</v>
      </c>
      <c r="C17" s="34">
        <f t="shared" si="1"/>
        <v>0.30476811594202902</v>
      </c>
      <c r="D17" s="35">
        <f>IF(OR(AND(MONTH(A17)&gt;8,MONTH(A17)&lt;12),AND(MONTH(A17)&gt;1,MONTH(A17)&lt;6)),'Portfolio Set-up'!$B$1-'Portfolio Set-up'!$B$5,'Portfolio Set-up'!$B$1)</f>
        <v>230</v>
      </c>
      <c r="E17" s="36">
        <f>IF(OR(AND(MONTH(A17)&gt;8,MONTH(A17)&lt;12),AND(MONTH(A17)&gt;1,MONTH(A17)&lt;6)),('Static Data'!$C$13-'Portfolio Set-up'!$B$7)*1000,('Static Data'!$C$13-'Portfolio Set-up'!$B$3)*1000)</f>
        <v>10265.999999999998</v>
      </c>
      <c r="F17" s="35">
        <f>INDEX('Static Data'!$A$19:$C$30,MATCH(MONTH(A17),'Static Data'!$A$19:$A$30,0),3)</f>
        <v>0.84099999999999997</v>
      </c>
      <c r="G17" s="34">
        <f>IF(OR(AND(MONTH(A17)&gt;8,MONTH(A17)&lt;12),AND(MONTH(A17)&gt;1,MONTH(A17)&lt;6)),'Portfolio Set-up'!$B$6,'Portfolio Set-up'!$B$2)</f>
        <v>0.53623188405797095</v>
      </c>
      <c r="H17" s="35">
        <f>INDEX('Static Data'!$A$37:$C$48,MATCH(MONTH(A17),'Static Data'!$A$37:$A$48,0),3)</f>
        <v>1</v>
      </c>
      <c r="I17" s="35">
        <f>IF(YEAR(A17)&lt;2021,'Static Data'!$C$52,1)</f>
        <v>0.75</v>
      </c>
      <c r="J17" s="47">
        <v>0</v>
      </c>
      <c r="M17" s="20"/>
      <c r="N17" s="22"/>
    </row>
    <row r="18" spans="1:15" x14ac:dyDescent="0.3">
      <c r="A18" s="19">
        <v>43738</v>
      </c>
      <c r="B18" s="44">
        <f t="shared" si="0"/>
        <v>539709.28499999992</v>
      </c>
      <c r="C18" s="37">
        <f t="shared" si="1"/>
        <v>0.30476811594202902</v>
      </c>
      <c r="D18" s="38">
        <f>IF(OR(AND(MONTH(A18)&gt;8,MONTH(A18)&lt;12),AND(MONTH(A18)&gt;1,MONTH(A18)&lt;6)),'Portfolio Set-up'!$B$1-'Portfolio Set-up'!$B$5,'Portfolio Set-up'!$B$1)</f>
        <v>230</v>
      </c>
      <c r="E18" s="39">
        <f>IF(OR(AND(MONTH(A18)&gt;8,MONTH(A18)&lt;12),AND(MONTH(A18)&gt;1,MONTH(A18)&lt;6)),('Static Data'!$C$13-'Portfolio Set-up'!$B$7)*1000,('Static Data'!$C$13-'Portfolio Set-up'!$B$3)*1000)</f>
        <v>10265.999999999998</v>
      </c>
      <c r="F18" s="38">
        <f>INDEX('Static Data'!$A$19:$C$30,MATCH(MONTH(A18),'Static Data'!$A$19:$A$30,0),3)</f>
        <v>0.84099999999999997</v>
      </c>
      <c r="G18" s="37">
        <f>IF(OR(AND(MONTH(A18)&gt;8,MONTH(A18)&lt;12),AND(MONTH(A18)&gt;1,MONTH(A18)&lt;6)),'Portfolio Set-up'!$B$6,'Portfolio Set-up'!$B$2)</f>
        <v>0.53623188405797095</v>
      </c>
      <c r="H18" s="38">
        <f>INDEX('Static Data'!$A$37:$C$48,MATCH(MONTH(A18),'Static Data'!$A$37:$A$48,0),3)</f>
        <v>1</v>
      </c>
      <c r="I18" s="38">
        <f>IF(YEAR(A18)&lt;2021,'Static Data'!$C$52,1)</f>
        <v>0.75</v>
      </c>
      <c r="J18" s="48">
        <v>0</v>
      </c>
    </row>
    <row r="19" spans="1:15" x14ac:dyDescent="0.3">
      <c r="A19" s="13">
        <v>43739</v>
      </c>
      <c r="B19" s="43">
        <f t="shared" si="0"/>
        <v>-1756161.5</v>
      </c>
      <c r="C19" s="34">
        <f t="shared" si="1"/>
        <v>0.1</v>
      </c>
      <c r="D19" s="35">
        <f>IF(OR(AND(MONTH(A19)&gt;8,MONTH(A19)&lt;12),AND(MONTH(A19)&gt;1,MONTH(A19)&lt;6)),'Portfolio Set-up'!$B$1-'Portfolio Set-up'!$B$5,'Portfolio Set-up'!$B$1)</f>
        <v>230</v>
      </c>
      <c r="E19" s="36">
        <f>IF(OR(AND(MONTH(A19)&gt;8,MONTH(A19)&lt;12),AND(MONTH(A19)&gt;1,MONTH(A19)&lt;6)),('Static Data'!$C$13-'Portfolio Set-up'!$B$7)*1000,('Static Data'!$C$13-'Portfolio Set-up'!$B$3)*1000)</f>
        <v>10265.999999999998</v>
      </c>
      <c r="F19" s="35">
        <f>INDEX('Static Data'!$A$19:$C$30,MATCH(MONTH(A19),'Static Data'!$A$19:$A$30,0),3)</f>
        <v>0.6</v>
      </c>
      <c r="G19" s="34">
        <f>IF(OR(AND(MONTH(A19)&gt;8,MONTH(A19)&lt;12),AND(MONTH(A19)&gt;1,MONTH(A19)&lt;6)),'Portfolio Set-up'!$C$6,'Portfolio Set-up'!$C$2)</f>
        <v>0.56521739130434778</v>
      </c>
      <c r="H19" s="35">
        <f>INDEX('Static Data'!$A$37:$C$48,MATCH(MONTH(A19),'Static Data'!$A$37:$A$48,0),3)</f>
        <v>1</v>
      </c>
      <c r="I19" s="35">
        <f>IF(YEAR(A19)&lt;2021,'Static Data'!$C$52,1)</f>
        <v>0.75</v>
      </c>
      <c r="J19" s="33">
        <f>'Portfolio Set-up'!$B$1*'Portfolio Set-up'!$B$3*1000</f>
        <v>1933250</v>
      </c>
    </row>
    <row r="20" spans="1:15" x14ac:dyDescent="0.3">
      <c r="A20" s="13">
        <v>43752</v>
      </c>
      <c r="B20" s="43">
        <f t="shared" si="0"/>
        <v>-1756161.5</v>
      </c>
      <c r="C20" s="34">
        <f t="shared" si="1"/>
        <v>0.1</v>
      </c>
      <c r="D20" s="35">
        <f>IF(OR(AND(MONTH(A20)&gt;8,MONTH(A20)&lt;12),AND(MONTH(A20)&gt;1,MONTH(A20)&lt;6)),'Portfolio Set-up'!$B$1-'Portfolio Set-up'!$B$5,'Portfolio Set-up'!$B$1)</f>
        <v>230</v>
      </c>
      <c r="E20" s="36">
        <f>IF(OR(AND(MONTH(A20)&gt;8,MONTH(A20)&lt;12),AND(MONTH(A20)&gt;1,MONTH(A20)&lt;6)),('Static Data'!$C$13-'Portfolio Set-up'!$B$7)*1000,('Static Data'!$C$13-'Portfolio Set-up'!$B$3)*1000)</f>
        <v>10265.999999999998</v>
      </c>
      <c r="F20" s="35">
        <f>INDEX('Static Data'!$A$19:$C$30,MATCH(MONTH(A20),'Static Data'!$A$19:$A$30,0),3)</f>
        <v>0.6</v>
      </c>
      <c r="G20" s="34">
        <f>IF(OR(AND(MONTH(A20)&gt;8,MONTH(A20)&lt;12),AND(MONTH(A20)&gt;1,MONTH(A20)&lt;6)),'Portfolio Set-up'!$C$6,'Portfolio Set-up'!$C$2)</f>
        <v>0.56521739130434778</v>
      </c>
      <c r="H20" s="35">
        <f>INDEX('Static Data'!$A$37:$C$48,MATCH(MONTH(A20),'Static Data'!$A$37:$A$48,0),3)</f>
        <v>1</v>
      </c>
      <c r="I20" s="35">
        <f>IF(YEAR(A20)&lt;2021,'Static Data'!$C$52,1)</f>
        <v>0.75</v>
      </c>
      <c r="J20" s="33">
        <f>J19</f>
        <v>1933250</v>
      </c>
    </row>
    <row r="21" spans="1:15" x14ac:dyDescent="0.3">
      <c r="A21" s="13">
        <f>A20</f>
        <v>43752</v>
      </c>
      <c r="B21" s="43">
        <f t="shared" si="0"/>
        <v>177088.49999999997</v>
      </c>
      <c r="C21" s="34">
        <f t="shared" si="1"/>
        <v>0.1</v>
      </c>
      <c r="D21" s="35">
        <f>IF(OR(AND(MONTH(A21)&gt;8,MONTH(A21)&lt;12),AND(MONTH(A21)&gt;1,MONTH(A21)&lt;6)),'Portfolio Set-up'!$B$1-'Portfolio Set-up'!$B$5,'Portfolio Set-up'!$B$1)</f>
        <v>230</v>
      </c>
      <c r="E21" s="36">
        <f>IF(OR(AND(MONTH(A21)&gt;8,MONTH(A21)&lt;12),AND(MONTH(A21)&gt;1,MONTH(A21)&lt;6)),('Static Data'!$C$13-'Portfolio Set-up'!$B$7)*1000,('Static Data'!$C$13-'Portfolio Set-up'!$B$3)*1000)</f>
        <v>10265.999999999998</v>
      </c>
      <c r="F21" s="35">
        <f>INDEX('Static Data'!$A$19:$C$30,MATCH(MONTH(A21),'Static Data'!$A$19:$A$30,0),3)</f>
        <v>0.6</v>
      </c>
      <c r="G21" s="34">
        <f>IF(OR(AND(MONTH(A21)&gt;8,MONTH(A21)&lt;12),AND(MONTH(A21)&gt;1,MONTH(A21)&lt;6)),'Portfolio Set-up'!$C$6,'Portfolio Set-up'!$C$2)</f>
        <v>0.56521739130434778</v>
      </c>
      <c r="H21" s="35">
        <f>INDEX('Static Data'!$A$37:$C$48,MATCH(MONTH(A21),'Static Data'!$A$37:$A$48,0),3)</f>
        <v>1</v>
      </c>
      <c r="I21" s="35">
        <f>IF(YEAR(A21)&lt;2021,'Static Data'!$C$52,1)</f>
        <v>0.75</v>
      </c>
      <c r="J21" s="47">
        <v>0</v>
      </c>
    </row>
    <row r="22" spans="1:15" x14ac:dyDescent="0.3">
      <c r="A22" s="19">
        <v>43769</v>
      </c>
      <c r="B22" s="44">
        <f t="shared" si="0"/>
        <v>177088.49999999997</v>
      </c>
      <c r="C22" s="37">
        <f t="shared" si="1"/>
        <v>0.1</v>
      </c>
      <c r="D22" s="38">
        <f>IF(OR(AND(MONTH(A22)&gt;8,MONTH(A22)&lt;12),AND(MONTH(A22)&gt;1,MONTH(A22)&lt;6)),'Portfolio Set-up'!$B$1-'Portfolio Set-up'!$B$5,'Portfolio Set-up'!$B$1)</f>
        <v>230</v>
      </c>
      <c r="E22" s="39">
        <f>IF(OR(AND(MONTH(A22)&gt;8,MONTH(A22)&lt;12),AND(MONTH(A22)&gt;1,MONTH(A22)&lt;6)),('Static Data'!$C$13-'Portfolio Set-up'!$B$7)*1000,('Static Data'!$C$13-'Portfolio Set-up'!$B$3)*1000)</f>
        <v>10265.999999999998</v>
      </c>
      <c r="F22" s="38">
        <f>INDEX('Static Data'!$A$19:$C$30,MATCH(MONTH(A22),'Static Data'!$A$19:$A$30,0),3)</f>
        <v>0.6</v>
      </c>
      <c r="G22" s="37">
        <f>IF(OR(AND(MONTH(A22)&gt;8,MONTH(A22)&lt;12),AND(MONTH(A22)&gt;1,MONTH(A22)&lt;6)),'Portfolio Set-up'!$C$6,'Portfolio Set-up'!$C$2)</f>
        <v>0.56521739130434778</v>
      </c>
      <c r="H22" s="38">
        <f>INDEX('Static Data'!$A$37:$C$48,MATCH(MONTH(A22),'Static Data'!$A$37:$A$48,0),3)</f>
        <v>1</v>
      </c>
      <c r="I22" s="38">
        <f>IF(YEAR(A22)&lt;2021,'Static Data'!$C$52,1)</f>
        <v>0.75</v>
      </c>
      <c r="J22" s="48">
        <v>0</v>
      </c>
    </row>
    <row r="23" spans="1:15" x14ac:dyDescent="0.3">
      <c r="A23" s="13">
        <v>43770</v>
      </c>
      <c r="B23" s="43">
        <f t="shared" si="0"/>
        <v>-1756161.5</v>
      </c>
      <c r="C23" s="34">
        <f t="shared" si="1"/>
        <v>0.1</v>
      </c>
      <c r="D23" s="35">
        <f>IF(OR(AND(MONTH(A23)&gt;8,MONTH(A23)&lt;12),AND(MONTH(A23)&gt;1,MONTH(A23)&lt;6)),'Portfolio Set-up'!$B$1-'Portfolio Set-up'!$B$5,'Portfolio Set-up'!$B$1)</f>
        <v>230</v>
      </c>
      <c r="E23" s="36">
        <f>IF(OR(AND(MONTH(A23)&gt;8,MONTH(A23)&lt;12),AND(MONTH(A23)&gt;1,MONTH(A23)&lt;6)),('Static Data'!$C$13-'Portfolio Set-up'!$B$7)*1000,('Static Data'!$C$13-'Portfolio Set-up'!$B$3)*1000)</f>
        <v>10265.999999999998</v>
      </c>
      <c r="F23" s="35">
        <f>INDEX('Static Data'!$A$19:$C$30,MATCH(MONTH(A23),'Static Data'!$A$19:$A$30,0),3)</f>
        <v>0.6</v>
      </c>
      <c r="G23" s="34">
        <f>IF(OR(AND(MONTH(A23)&gt;8,MONTH(A23)&lt;12),AND(MONTH(A23)&gt;1,MONTH(A23)&lt;6)),'Portfolio Set-up'!$C$6,'Portfolio Set-up'!$C$2)</f>
        <v>0.56521739130434778</v>
      </c>
      <c r="H23" s="35">
        <f>INDEX('Static Data'!$A$37:$C$48,MATCH(MONTH(A23),'Static Data'!$A$37:$A$48,0),3)</f>
        <v>1</v>
      </c>
      <c r="I23" s="35">
        <f>IF(YEAR(A23)&lt;2021,'Static Data'!$C$52,1)</f>
        <v>0.75</v>
      </c>
      <c r="J23" s="33">
        <f>'Portfolio Set-up'!$B$1*'Portfolio Set-up'!$B$3*1000</f>
        <v>1933250</v>
      </c>
    </row>
    <row r="24" spans="1:15" x14ac:dyDescent="0.3">
      <c r="A24" s="13">
        <v>43780</v>
      </c>
      <c r="B24" s="43">
        <f t="shared" si="0"/>
        <v>-1756161.5</v>
      </c>
      <c r="C24" s="34">
        <f t="shared" si="1"/>
        <v>0.1</v>
      </c>
      <c r="D24" s="35">
        <f>IF(OR(AND(MONTH(A24)&gt;8,MONTH(A24)&lt;12),AND(MONTH(A24)&gt;1,MONTH(A24)&lt;6)),'Portfolio Set-up'!$B$1-'Portfolio Set-up'!$B$5,'Portfolio Set-up'!$B$1)</f>
        <v>230</v>
      </c>
      <c r="E24" s="36">
        <f>IF(OR(AND(MONTH(A24)&gt;8,MONTH(A24)&lt;12),AND(MONTH(A24)&gt;1,MONTH(A24)&lt;6)),('Static Data'!$C$13-'Portfolio Set-up'!$B$7)*1000,('Static Data'!$C$13-'Portfolio Set-up'!$B$3)*1000)</f>
        <v>10265.999999999998</v>
      </c>
      <c r="F24" s="35">
        <f>INDEX('Static Data'!$A$19:$C$30,MATCH(MONTH(A24),'Static Data'!$A$19:$A$30,0),3)</f>
        <v>0.6</v>
      </c>
      <c r="G24" s="34">
        <f>IF(OR(AND(MONTH(A24)&gt;8,MONTH(A24)&lt;12),AND(MONTH(A24)&gt;1,MONTH(A24)&lt;6)),'Portfolio Set-up'!$C$6,'Portfolio Set-up'!$C$2)</f>
        <v>0.56521739130434778</v>
      </c>
      <c r="H24" s="35">
        <f>INDEX('Static Data'!$A$37:$C$48,MATCH(MONTH(A24),'Static Data'!$A$37:$A$48,0),3)</f>
        <v>1</v>
      </c>
      <c r="I24" s="35">
        <f>IF(YEAR(A24)&lt;2021,'Static Data'!$C$52,1)</f>
        <v>0.75</v>
      </c>
      <c r="J24" s="33">
        <f>J23</f>
        <v>1933250</v>
      </c>
    </row>
    <row r="25" spans="1:15" x14ac:dyDescent="0.3">
      <c r="A25" s="13">
        <f>A24</f>
        <v>43780</v>
      </c>
      <c r="B25" s="43">
        <f t="shared" si="0"/>
        <v>177088.49999999997</v>
      </c>
      <c r="C25" s="34">
        <f t="shared" si="1"/>
        <v>0.1</v>
      </c>
      <c r="D25" s="35">
        <f>IF(OR(AND(MONTH(A25)&gt;8,MONTH(A25)&lt;12),AND(MONTH(A25)&gt;1,MONTH(A25)&lt;6)),'Portfolio Set-up'!$B$1-'Portfolio Set-up'!$B$5,'Portfolio Set-up'!$B$1)</f>
        <v>230</v>
      </c>
      <c r="E25" s="36">
        <f>IF(OR(AND(MONTH(A25)&gt;8,MONTH(A25)&lt;12),AND(MONTH(A25)&gt;1,MONTH(A25)&lt;6)),('Static Data'!$C$13-'Portfolio Set-up'!$B$7)*1000,('Static Data'!$C$13-'Portfolio Set-up'!$B$3)*1000)</f>
        <v>10265.999999999998</v>
      </c>
      <c r="F25" s="35">
        <f>INDEX('Static Data'!$A$19:$C$30,MATCH(MONTH(A25),'Static Data'!$A$19:$A$30,0),3)</f>
        <v>0.6</v>
      </c>
      <c r="G25" s="34">
        <f>IF(OR(AND(MONTH(A25)&gt;8,MONTH(A25)&lt;12),AND(MONTH(A25)&gt;1,MONTH(A25)&lt;6)),'Portfolio Set-up'!$C$6,'Portfolio Set-up'!$C$2)</f>
        <v>0.56521739130434778</v>
      </c>
      <c r="H25" s="35">
        <f>INDEX('Static Data'!$A$37:$C$48,MATCH(MONTH(A25),'Static Data'!$A$37:$A$48,0),3)</f>
        <v>1</v>
      </c>
      <c r="I25" s="35">
        <f>IF(YEAR(A25)&lt;2021,'Static Data'!$C$52,1)</f>
        <v>0.75</v>
      </c>
      <c r="J25" s="47">
        <v>0</v>
      </c>
    </row>
    <row r="26" spans="1:15" x14ac:dyDescent="0.3">
      <c r="A26" s="19">
        <v>43799</v>
      </c>
      <c r="B26" s="44">
        <f t="shared" si="0"/>
        <v>177088.49999999997</v>
      </c>
      <c r="C26" s="37">
        <f t="shared" si="1"/>
        <v>0.1</v>
      </c>
      <c r="D26" s="38">
        <f>IF(OR(AND(MONTH(A26)&gt;8,MONTH(A26)&lt;12),AND(MONTH(A26)&gt;1,MONTH(A26)&lt;6)),'Portfolio Set-up'!$B$1-'Portfolio Set-up'!$B$5,'Portfolio Set-up'!$B$1)</f>
        <v>230</v>
      </c>
      <c r="E26" s="39">
        <f>IF(OR(AND(MONTH(A26)&gt;8,MONTH(A26)&lt;12),AND(MONTH(A26)&gt;1,MONTH(A26)&lt;6)),('Static Data'!$C$13-'Portfolio Set-up'!$B$7)*1000,('Static Data'!$C$13-'Portfolio Set-up'!$B$3)*1000)</f>
        <v>10265.999999999998</v>
      </c>
      <c r="F26" s="38">
        <f>INDEX('Static Data'!$A$19:$C$30,MATCH(MONTH(A26),'Static Data'!$A$19:$A$30,0),3)</f>
        <v>0.6</v>
      </c>
      <c r="G26" s="37">
        <f>IF(OR(AND(MONTH(A26)&gt;8,MONTH(A26)&lt;12),AND(MONTH(A26)&gt;1,MONTH(A26)&lt;6)),'Portfolio Set-up'!$C$6,'Portfolio Set-up'!$C$2)</f>
        <v>0.56521739130434778</v>
      </c>
      <c r="H26" s="38">
        <f>INDEX('Static Data'!$A$37:$C$48,MATCH(MONTH(A26),'Static Data'!$A$37:$A$48,0),3)</f>
        <v>1</v>
      </c>
      <c r="I26" s="38">
        <f>IF(YEAR(A26)&lt;2021,'Static Data'!$C$52,1)</f>
        <v>0.75</v>
      </c>
      <c r="J26" s="48">
        <v>0</v>
      </c>
    </row>
    <row r="27" spans="1:15" x14ac:dyDescent="0.3">
      <c r="A27" s="13">
        <v>43800</v>
      </c>
      <c r="B27" s="43">
        <f t="shared" si="0"/>
        <v>-1566522.8149999999</v>
      </c>
      <c r="C27" s="34">
        <f t="shared" si="1"/>
        <v>0.1</v>
      </c>
      <c r="D27" s="35">
        <f>IF(OR(AND(MONTH(A27)&gt;8,MONTH(A27)&lt;12),AND(MONTH(A27)&gt;1,MONTH(A27)&lt;6)),'Portfolio Set-up'!$B$1-'Portfolio Set-up'!$B$5,'Portfolio Set-up'!$B$1)</f>
        <v>275</v>
      </c>
      <c r="E27" s="36">
        <f>IF(OR(AND(MONTH(A27)&gt;8,MONTH(A27)&lt;12),AND(MONTH(A27)&gt;1,MONTH(A27)&lt;6)),('Static Data'!$C$13-'Portfolio Set-up'!$B$7)*1000,('Static Data'!$C$13-'Portfolio Set-up'!$B$3)*1000)</f>
        <v>10265.999999999998</v>
      </c>
      <c r="F27" s="35">
        <f>INDEX('Static Data'!$A$19:$C$30,MATCH(MONTH(A27),'Static Data'!$A$19:$A$30,0),3)</f>
        <v>0.7</v>
      </c>
      <c r="G27" s="34">
        <f>IF(OR(AND(MONTH(A27)&gt;8,MONTH(A27)&lt;12),AND(MONTH(A27)&gt;1,MONTH(A27)&lt;6)),'Portfolio Set-up'!$C$6,'Portfolio Set-up'!$C$2)</f>
        <v>0.63636363636363635</v>
      </c>
      <c r="H27" s="35">
        <f>INDEX('Static Data'!$A$37:$C$48,MATCH(MONTH(A27),'Static Data'!$A$37:$A$48,0),3)</f>
        <v>1.732</v>
      </c>
      <c r="I27" s="35">
        <f>IF(YEAR(A27)&lt;2021,'Static Data'!$C$52,1)</f>
        <v>0.75</v>
      </c>
      <c r="J27" s="33">
        <f>'Portfolio Set-up'!$B$1*'Portfolio Set-up'!$B$3*1000</f>
        <v>1933250</v>
      </c>
    </row>
    <row r="28" spans="1:15" x14ac:dyDescent="0.3">
      <c r="A28" s="13">
        <v>43815</v>
      </c>
      <c r="B28" s="43">
        <f t="shared" si="0"/>
        <v>-1566522.8149999999</v>
      </c>
      <c r="C28" s="34">
        <f t="shared" si="1"/>
        <v>0.1</v>
      </c>
      <c r="D28" s="35">
        <f>IF(OR(AND(MONTH(A28)&gt;8,MONTH(A28)&lt;12),AND(MONTH(A28)&gt;1,MONTH(A28)&lt;6)),'Portfolio Set-up'!$B$1-'Portfolio Set-up'!$B$5,'Portfolio Set-up'!$B$1)</f>
        <v>275</v>
      </c>
      <c r="E28" s="36">
        <f>IF(OR(AND(MONTH(A28)&gt;8,MONTH(A28)&lt;12),AND(MONTH(A28)&gt;1,MONTH(A28)&lt;6)),('Static Data'!$C$13-'Portfolio Set-up'!$B$7)*1000,('Static Data'!$C$13-'Portfolio Set-up'!$B$3)*1000)</f>
        <v>10265.999999999998</v>
      </c>
      <c r="F28" s="35">
        <f>INDEX('Static Data'!$A$19:$C$30,MATCH(MONTH(A28),'Static Data'!$A$19:$A$30,0),3)</f>
        <v>0.7</v>
      </c>
      <c r="G28" s="34">
        <f>IF(OR(AND(MONTH(A28)&gt;8,MONTH(A28)&lt;12),AND(MONTH(A28)&gt;1,MONTH(A28)&lt;6)),'Portfolio Set-up'!$C$6,'Portfolio Set-up'!$C$2)</f>
        <v>0.63636363636363635</v>
      </c>
      <c r="H28" s="35">
        <f>INDEX('Static Data'!$A$37:$C$48,MATCH(MONTH(A28),'Static Data'!$A$37:$A$48,0),3)</f>
        <v>1.732</v>
      </c>
      <c r="I28" s="35">
        <f>IF(YEAR(A28)&lt;2021,'Static Data'!$C$52,1)</f>
        <v>0.75</v>
      </c>
      <c r="J28" s="33">
        <f>J27</f>
        <v>1933250</v>
      </c>
    </row>
    <row r="29" spans="1:15" x14ac:dyDescent="0.3">
      <c r="A29" s="13">
        <f>A28</f>
        <v>43815</v>
      </c>
      <c r="B29" s="43">
        <f t="shared" si="0"/>
        <v>366727.18499999994</v>
      </c>
      <c r="C29" s="34">
        <f t="shared" si="1"/>
        <v>0.1</v>
      </c>
      <c r="D29" s="35">
        <f>IF(OR(AND(MONTH(A29)&gt;8,MONTH(A29)&lt;12),AND(MONTH(A29)&gt;1,MONTH(A29)&lt;6)),'Portfolio Set-up'!$B$1-'Portfolio Set-up'!$B$5,'Portfolio Set-up'!$B$1)</f>
        <v>275</v>
      </c>
      <c r="E29" s="36">
        <f>IF(OR(AND(MONTH(A29)&gt;8,MONTH(A29)&lt;12),AND(MONTH(A29)&gt;1,MONTH(A29)&lt;6)),('Static Data'!$C$13-'Portfolio Set-up'!$B$7)*1000,('Static Data'!$C$13-'Portfolio Set-up'!$B$3)*1000)</f>
        <v>10265.999999999998</v>
      </c>
      <c r="F29" s="35">
        <f>INDEX('Static Data'!$A$19:$C$30,MATCH(MONTH(A29),'Static Data'!$A$19:$A$30,0),3)</f>
        <v>0.7</v>
      </c>
      <c r="G29" s="34">
        <f>IF(OR(AND(MONTH(A29)&gt;8,MONTH(A29)&lt;12),AND(MONTH(A29)&gt;1,MONTH(A29)&lt;6)),'Portfolio Set-up'!$C$6,'Portfolio Set-up'!$C$2)</f>
        <v>0.63636363636363635</v>
      </c>
      <c r="H29" s="35">
        <f>INDEX('Static Data'!$A$37:$C$48,MATCH(MONTH(A29),'Static Data'!$A$37:$A$48,0),3)</f>
        <v>1.732</v>
      </c>
      <c r="I29" s="35">
        <f>IF(YEAR(A29)&lt;2021,'Static Data'!$C$52,1)</f>
        <v>0.75</v>
      </c>
      <c r="J29" s="47">
        <v>0</v>
      </c>
    </row>
    <row r="30" spans="1:15" x14ac:dyDescent="0.3">
      <c r="A30" s="19">
        <v>43830</v>
      </c>
      <c r="B30" s="44">
        <f t="shared" si="0"/>
        <v>366727.18499999994</v>
      </c>
      <c r="C30" s="37">
        <f t="shared" si="1"/>
        <v>0.1</v>
      </c>
      <c r="D30" s="38">
        <f>IF(OR(AND(MONTH(A30)&gt;8,MONTH(A30)&lt;12),AND(MONTH(A30)&gt;1,MONTH(A30)&lt;6)),'Portfolio Set-up'!$B$1-'Portfolio Set-up'!$B$5,'Portfolio Set-up'!$B$1)</f>
        <v>275</v>
      </c>
      <c r="E30" s="39">
        <f>IF(OR(AND(MONTH(A30)&gt;8,MONTH(A30)&lt;12),AND(MONTH(A30)&gt;1,MONTH(A30)&lt;6)),('Static Data'!$C$13-'Portfolio Set-up'!$B$7)*1000,('Static Data'!$C$13-'Portfolio Set-up'!$B$3)*1000)</f>
        <v>10265.999999999998</v>
      </c>
      <c r="F30" s="38">
        <f>INDEX('Static Data'!$A$19:$C$30,MATCH(MONTH(A30),'Static Data'!$A$19:$A$30,0),3)</f>
        <v>0.7</v>
      </c>
      <c r="G30" s="37">
        <f>IF(OR(AND(MONTH(A30)&gt;8,MONTH(A30)&lt;12),AND(MONTH(A30)&gt;1,MONTH(A30)&lt;6)),'Portfolio Set-up'!$C$6,'Portfolio Set-up'!$C$2)</f>
        <v>0.63636363636363635</v>
      </c>
      <c r="H30" s="38">
        <f>INDEX('Static Data'!$A$37:$C$48,MATCH(MONTH(A30),'Static Data'!$A$37:$A$48,0),3)</f>
        <v>1.732</v>
      </c>
      <c r="I30" s="38">
        <f>IF(YEAR(A30)&lt;2021,'Static Data'!$C$52,1)</f>
        <v>0.75</v>
      </c>
      <c r="J30" s="48">
        <v>0</v>
      </c>
    </row>
    <row r="31" spans="1:15" x14ac:dyDescent="0.3">
      <c r="A31" s="13">
        <v>43831</v>
      </c>
      <c r="B31" s="43">
        <f t="shared" si="0"/>
        <v>-1633854.9425000001</v>
      </c>
      <c r="C31" s="34">
        <f t="shared" si="1"/>
        <v>0.1</v>
      </c>
      <c r="D31" s="35">
        <f>IF(OR(AND(MONTH(A31)&gt;8,MONTH(A31)&lt;12),AND(MONTH(A31)&gt;1,MONTH(A31)&lt;6)),'Portfolio Set-up'!$B$1-'Portfolio Set-up'!$B$5,'Portfolio Set-up'!$B$1)</f>
        <v>275</v>
      </c>
      <c r="E31" s="36">
        <f>IF(OR(AND(MONTH(A31)&gt;8,MONTH(A31)&lt;12),AND(MONTH(A31)&gt;1,MONTH(A31)&lt;6)),('Static Data'!$C$13-'Portfolio Set-up'!$B$7)*1000,('Static Data'!$C$13-'Portfolio Set-up'!$B$3)*1000)</f>
        <v>10265.999999999998</v>
      </c>
      <c r="F31" s="35">
        <f>INDEX('Static Data'!$A$19:$C$30,MATCH(MONTH(A31),'Static Data'!$A$19:$A$30,0),3)</f>
        <v>0.7</v>
      </c>
      <c r="G31" s="34">
        <f>IF(OR(AND(MONTH(A31)&gt;8,MONTH(A31)&lt;12),AND(MONTH(A31)&gt;1,MONTH(A31)&lt;6)),'Portfolio Set-up'!$C$6,'Portfolio Set-up'!$C$2)</f>
        <v>0.63636363636363635</v>
      </c>
      <c r="H31" s="35">
        <f>INDEX('Static Data'!$A$37:$C$48,MATCH(MONTH(A31),'Static Data'!$A$37:$A$48,0),3)</f>
        <v>1.4139999999999999</v>
      </c>
      <c r="I31" s="35">
        <f>IF(YEAR(A31)&lt;2021,'Static Data'!$C$52,1)</f>
        <v>0.75</v>
      </c>
      <c r="J31" s="33">
        <f>'Portfolio Set-up'!$B$1*'Portfolio Set-up'!$B$3*1000</f>
        <v>1933250</v>
      </c>
    </row>
    <row r="32" spans="1:15" x14ac:dyDescent="0.3">
      <c r="A32" s="13">
        <v>43843</v>
      </c>
      <c r="B32" s="43">
        <f t="shared" si="0"/>
        <v>-1633854.9425000001</v>
      </c>
      <c r="C32" s="34">
        <f t="shared" si="1"/>
        <v>0.1</v>
      </c>
      <c r="D32" s="35">
        <f>IF(OR(AND(MONTH(A32)&gt;8,MONTH(A32)&lt;12),AND(MONTH(A32)&gt;1,MONTH(A32)&lt;6)),'Portfolio Set-up'!$B$1-'Portfolio Set-up'!$B$5,'Portfolio Set-up'!$B$1)</f>
        <v>275</v>
      </c>
      <c r="E32" s="36">
        <f>IF(OR(AND(MONTH(A32)&gt;8,MONTH(A32)&lt;12),AND(MONTH(A32)&gt;1,MONTH(A32)&lt;6)),('Static Data'!$C$13-'Portfolio Set-up'!$B$7)*1000,('Static Data'!$C$13-'Portfolio Set-up'!$B$3)*1000)</f>
        <v>10265.999999999998</v>
      </c>
      <c r="F32" s="35">
        <f>INDEX('Static Data'!$A$19:$C$30,MATCH(MONTH(A32),'Static Data'!$A$19:$A$30,0),3)</f>
        <v>0.7</v>
      </c>
      <c r="G32" s="34">
        <f>IF(OR(AND(MONTH(A32)&gt;8,MONTH(A32)&lt;12),AND(MONTH(A32)&gt;1,MONTH(A32)&lt;6)),'Portfolio Set-up'!$C$6,'Portfolio Set-up'!$C$2)</f>
        <v>0.63636363636363635</v>
      </c>
      <c r="H32" s="35">
        <f>INDEX('Static Data'!$A$37:$C$48,MATCH(MONTH(A32),'Static Data'!$A$37:$A$48,0),3)</f>
        <v>1.4139999999999999</v>
      </c>
      <c r="I32" s="35">
        <f>IF(YEAR(A32)&lt;2021,'Static Data'!$C$52,1)</f>
        <v>0.75</v>
      </c>
      <c r="J32" s="33">
        <f>J31</f>
        <v>1933250</v>
      </c>
      <c r="O32" s="20"/>
    </row>
    <row r="33" spans="1:16" x14ac:dyDescent="0.3">
      <c r="A33" s="13">
        <f>A32</f>
        <v>43843</v>
      </c>
      <c r="B33" s="43">
        <f t="shared" si="0"/>
        <v>299395.05749999994</v>
      </c>
      <c r="C33" s="34">
        <f t="shared" si="1"/>
        <v>0.1</v>
      </c>
      <c r="D33" s="35">
        <f>IF(OR(AND(MONTH(A33)&gt;8,MONTH(A33)&lt;12),AND(MONTH(A33)&gt;1,MONTH(A33)&lt;6)),'Portfolio Set-up'!$B$1-'Portfolio Set-up'!$B$5,'Portfolio Set-up'!$B$1)</f>
        <v>275</v>
      </c>
      <c r="E33" s="36">
        <f>IF(OR(AND(MONTH(A33)&gt;8,MONTH(A33)&lt;12),AND(MONTH(A33)&gt;1,MONTH(A33)&lt;6)),('Static Data'!$C$13-'Portfolio Set-up'!$B$7)*1000,('Static Data'!$C$13-'Portfolio Set-up'!$B$3)*1000)</f>
        <v>10265.999999999998</v>
      </c>
      <c r="F33" s="35">
        <f>INDEX('Static Data'!$A$19:$C$30,MATCH(MONTH(A33),'Static Data'!$A$19:$A$30,0),3)</f>
        <v>0.7</v>
      </c>
      <c r="G33" s="34">
        <f>IF(OR(AND(MONTH(A33)&gt;8,MONTH(A33)&lt;12),AND(MONTH(A33)&gt;1,MONTH(A33)&lt;6)),'Portfolio Set-up'!$C$6,'Portfolio Set-up'!$C$2)</f>
        <v>0.63636363636363635</v>
      </c>
      <c r="H33" s="35">
        <f>INDEX('Static Data'!$A$37:$C$48,MATCH(MONTH(A33),'Static Data'!$A$37:$A$48,0),3)</f>
        <v>1.4139999999999999</v>
      </c>
      <c r="I33" s="35">
        <f>IF(YEAR(A33)&lt;2021,'Static Data'!$C$52,1)</f>
        <v>0.75</v>
      </c>
      <c r="J33" s="47">
        <v>0</v>
      </c>
    </row>
    <row r="34" spans="1:16" x14ac:dyDescent="0.3">
      <c r="A34" s="30">
        <v>43861</v>
      </c>
      <c r="B34" s="44">
        <f t="shared" si="0"/>
        <v>299395.05749999994</v>
      </c>
      <c r="C34" s="37">
        <f t="shared" si="1"/>
        <v>0.1</v>
      </c>
      <c r="D34" s="38">
        <f>IF(OR(AND(MONTH(A34)&gt;8,MONTH(A34)&lt;12),AND(MONTH(A34)&gt;1,MONTH(A34)&lt;6)),'Portfolio Set-up'!$B$1-'Portfolio Set-up'!$B$5,'Portfolio Set-up'!$B$1)</f>
        <v>275</v>
      </c>
      <c r="E34" s="39">
        <f>IF(OR(AND(MONTH(A34)&gt;8,MONTH(A34)&lt;12),AND(MONTH(A34)&gt;1,MONTH(A34)&lt;6)),('Static Data'!$C$13-'Portfolio Set-up'!$B$7)*1000,('Static Data'!$C$13-'Portfolio Set-up'!$B$3)*1000)</f>
        <v>10265.999999999998</v>
      </c>
      <c r="F34" s="38">
        <f>INDEX('Static Data'!$A$19:$C$30,MATCH(MONTH(A34),'Static Data'!$A$19:$A$30,0),3)</f>
        <v>0.7</v>
      </c>
      <c r="G34" s="37">
        <f>IF(OR(AND(MONTH(A34)&gt;8,MONTH(A34)&lt;12),AND(MONTH(A34)&gt;1,MONTH(A34)&lt;6)),'Portfolio Set-up'!$C$6,'Portfolio Set-up'!$C$2)</f>
        <v>0.63636363636363635</v>
      </c>
      <c r="H34" s="38">
        <f>INDEX('Static Data'!$A$37:$C$48,MATCH(MONTH(A34),'Static Data'!$A$37:$A$48,0),3)</f>
        <v>1.4139999999999999</v>
      </c>
      <c r="I34" s="38">
        <f>IF(YEAR(A34)&lt;2021,'Static Data'!$C$52,1)</f>
        <v>0.75</v>
      </c>
      <c r="J34" s="48">
        <v>0</v>
      </c>
    </row>
    <row r="35" spans="1:16" x14ac:dyDescent="0.3">
      <c r="A35" s="13">
        <v>43862</v>
      </c>
      <c r="B35" s="43">
        <f t="shared" si="0"/>
        <v>-1694565.5</v>
      </c>
      <c r="C35" s="34">
        <f t="shared" si="1"/>
        <v>0.13478260869565217</v>
      </c>
      <c r="D35" s="35">
        <f>IF(OR(AND(MONTH(A35)&gt;8,MONTH(A35)&lt;12),AND(MONTH(A35)&gt;1,MONTH(A35)&lt;6)),'Portfolio Set-up'!$B$1-'Portfolio Set-up'!$B$5,'Portfolio Set-up'!$B$1)</f>
        <v>230</v>
      </c>
      <c r="E35" s="36">
        <f>IF(OR(AND(MONTH(A35)&gt;8,MONTH(A35)&lt;12),AND(MONTH(A35)&gt;1,MONTH(A35)&lt;6)),('Static Data'!$C$13-'Portfolio Set-up'!$B$7)*1000,('Static Data'!$C$13-'Portfolio Set-up'!$B$3)*1000)</f>
        <v>10265.999999999998</v>
      </c>
      <c r="F35" s="35">
        <f>INDEX('Static Data'!$A$19:$C$30,MATCH(MONTH(A35),'Static Data'!$A$19:$A$30,0),3)</f>
        <v>0.7</v>
      </c>
      <c r="G35" s="34">
        <f>IF(OR(AND(MONTH(A35)&gt;8,MONTH(A35)&lt;12),AND(MONTH(A35)&gt;1,MONTH(A35)&lt;6)),'Portfolio Set-up'!$C$6,'Portfolio Set-up'!$C$2)</f>
        <v>0.56521739130434778</v>
      </c>
      <c r="H35" s="35">
        <f>INDEX('Static Data'!$A$37:$C$48,MATCH(MONTH(A35),'Static Data'!$A$37:$A$48,0),3)</f>
        <v>1</v>
      </c>
      <c r="I35" s="35">
        <f>IF(YEAR(A35)&lt;2021,'Static Data'!$C$52,1)</f>
        <v>0.75</v>
      </c>
      <c r="J35" s="33">
        <f>'Portfolio Set-up'!$B$1*'Portfolio Set-up'!$B$3*1000</f>
        <v>1933250</v>
      </c>
    </row>
    <row r="36" spans="1:16" x14ac:dyDescent="0.3">
      <c r="A36" s="13">
        <v>43878</v>
      </c>
      <c r="B36" s="43">
        <f t="shared" si="0"/>
        <v>-1694565.5</v>
      </c>
      <c r="C36" s="34">
        <f t="shared" si="1"/>
        <v>0.13478260869565217</v>
      </c>
      <c r="D36" s="35">
        <f>IF(OR(AND(MONTH(A36)&gt;8,MONTH(A36)&lt;12),AND(MONTH(A36)&gt;1,MONTH(A36)&lt;6)),'Portfolio Set-up'!$B$1-'Portfolio Set-up'!$B$5,'Portfolio Set-up'!$B$1)</f>
        <v>230</v>
      </c>
      <c r="E36" s="36">
        <f>IF(OR(AND(MONTH(A36)&gt;8,MONTH(A36)&lt;12),AND(MONTH(A36)&gt;1,MONTH(A36)&lt;6)),('Static Data'!$C$13-'Portfolio Set-up'!$B$7)*1000,('Static Data'!$C$13-'Portfolio Set-up'!$B$3)*1000)</f>
        <v>10265.999999999998</v>
      </c>
      <c r="F36" s="35">
        <f>INDEX('Static Data'!$A$19:$C$30,MATCH(MONTH(A36),'Static Data'!$A$19:$A$30,0),3)</f>
        <v>0.7</v>
      </c>
      <c r="G36" s="34">
        <f>IF(OR(AND(MONTH(A36)&gt;8,MONTH(A36)&lt;12),AND(MONTH(A36)&gt;1,MONTH(A36)&lt;6)),'Portfolio Set-up'!$C$6,'Portfolio Set-up'!$C$2)</f>
        <v>0.56521739130434778</v>
      </c>
      <c r="H36" s="35">
        <f>INDEX('Static Data'!$A$37:$C$48,MATCH(MONTH(A36),'Static Data'!$A$37:$A$48,0),3)</f>
        <v>1</v>
      </c>
      <c r="I36" s="35">
        <f>IF(YEAR(A36)&lt;2021,'Static Data'!$C$52,1)</f>
        <v>0.75</v>
      </c>
      <c r="J36" s="33">
        <f>J35</f>
        <v>1933250</v>
      </c>
    </row>
    <row r="37" spans="1:16" x14ac:dyDescent="0.3">
      <c r="A37" s="13">
        <f>A36</f>
        <v>43878</v>
      </c>
      <c r="B37" s="43">
        <f t="shared" si="0"/>
        <v>238684.49999999994</v>
      </c>
      <c r="C37" s="34">
        <f t="shared" si="1"/>
        <v>0.13478260869565217</v>
      </c>
      <c r="D37" s="35">
        <f>IF(OR(AND(MONTH(A37)&gt;8,MONTH(A37)&lt;12),AND(MONTH(A37)&gt;1,MONTH(A37)&lt;6)),'Portfolio Set-up'!$B$1-'Portfolio Set-up'!$B$5,'Portfolio Set-up'!$B$1)</f>
        <v>230</v>
      </c>
      <c r="E37" s="36">
        <f>IF(OR(AND(MONTH(A37)&gt;8,MONTH(A37)&lt;12),AND(MONTH(A37)&gt;1,MONTH(A37)&lt;6)),('Static Data'!$C$13-'Portfolio Set-up'!$B$7)*1000,('Static Data'!$C$13-'Portfolio Set-up'!$B$3)*1000)</f>
        <v>10265.999999999998</v>
      </c>
      <c r="F37" s="35">
        <f>INDEX('Static Data'!$A$19:$C$30,MATCH(MONTH(A37),'Static Data'!$A$19:$A$30,0),3)</f>
        <v>0.7</v>
      </c>
      <c r="G37" s="34">
        <f>IF(OR(AND(MONTH(A37)&gt;8,MONTH(A37)&lt;12),AND(MONTH(A37)&gt;1,MONTH(A37)&lt;6)),'Portfolio Set-up'!$C$6,'Portfolio Set-up'!$C$2)</f>
        <v>0.56521739130434778</v>
      </c>
      <c r="H37" s="35">
        <f>INDEX('Static Data'!$A$37:$C$48,MATCH(MONTH(A37),'Static Data'!$A$37:$A$48,0),3)</f>
        <v>1</v>
      </c>
      <c r="I37" s="35">
        <f>IF(YEAR(A37)&lt;2021,'Static Data'!$C$52,1)</f>
        <v>0.75</v>
      </c>
      <c r="J37" s="47">
        <v>0</v>
      </c>
      <c r="N37" s="20"/>
      <c r="P37" s="31"/>
    </row>
    <row r="38" spans="1:16" x14ac:dyDescent="0.3">
      <c r="A38" s="19">
        <v>43889</v>
      </c>
      <c r="B38" s="44">
        <f t="shared" si="0"/>
        <v>238684.49999999994</v>
      </c>
      <c r="C38" s="37">
        <f t="shared" si="1"/>
        <v>0.13478260869565217</v>
      </c>
      <c r="D38" s="38">
        <f>IF(OR(AND(MONTH(A38)&gt;8,MONTH(A38)&lt;12),AND(MONTH(A38)&gt;1,MONTH(A38)&lt;6)),'Portfolio Set-up'!$B$1-'Portfolio Set-up'!$B$5,'Portfolio Set-up'!$B$1)</f>
        <v>230</v>
      </c>
      <c r="E38" s="39">
        <f>IF(OR(AND(MONTH(A38)&gt;8,MONTH(A38)&lt;12),AND(MONTH(A38)&gt;1,MONTH(A38)&lt;6)),('Static Data'!$C$13-'Portfolio Set-up'!$B$7)*1000,('Static Data'!$C$13-'Portfolio Set-up'!$B$3)*1000)</f>
        <v>10265.999999999998</v>
      </c>
      <c r="F38" s="38">
        <f>INDEX('Static Data'!$A$19:$C$30,MATCH(MONTH(A38),'Static Data'!$A$19:$A$30,0),3)</f>
        <v>0.7</v>
      </c>
      <c r="G38" s="37">
        <f>IF(OR(AND(MONTH(A38)&gt;8,MONTH(A38)&lt;12),AND(MONTH(A38)&gt;1,MONTH(A38)&lt;6)),'Portfolio Set-up'!$C$6,'Portfolio Set-up'!$C$2)</f>
        <v>0.56521739130434778</v>
      </c>
      <c r="H38" s="38">
        <f>INDEX('Static Data'!$A$37:$C$48,MATCH(MONTH(A38),'Static Data'!$A$37:$A$48,0),3)</f>
        <v>1</v>
      </c>
      <c r="I38" s="38">
        <f>IF(YEAR(A38)&lt;2021,'Static Data'!$C$52,1)</f>
        <v>0.75</v>
      </c>
      <c r="J38" s="48">
        <v>0</v>
      </c>
      <c r="P38" s="32"/>
    </row>
    <row r="39" spans="1:16" x14ac:dyDescent="0.3">
      <c r="A39" s="13">
        <v>43891</v>
      </c>
      <c r="B39" s="43">
        <f t="shared" si="0"/>
        <v>-1756161.5</v>
      </c>
      <c r="C39" s="34">
        <f t="shared" si="1"/>
        <v>0.1</v>
      </c>
      <c r="D39" s="35">
        <f>IF(OR(AND(MONTH(A39)&gt;8,MONTH(A39)&lt;12),AND(MONTH(A39)&gt;1,MONTH(A39)&lt;6)),'Portfolio Set-up'!$B$1-'Portfolio Set-up'!$B$5,'Portfolio Set-up'!$B$1)</f>
        <v>230</v>
      </c>
      <c r="E39" s="36">
        <f>IF(OR(AND(MONTH(A39)&gt;8,MONTH(A39)&lt;12),AND(MONTH(A39)&gt;1,MONTH(A39)&lt;6)),('Static Data'!$C$13-'Portfolio Set-up'!$B$7)*1000,('Static Data'!$C$13-'Portfolio Set-up'!$B$3)*1000)</f>
        <v>10265.999999999998</v>
      </c>
      <c r="F39" s="35">
        <f>INDEX('Static Data'!$A$19:$C$30,MATCH(MONTH(A39),'Static Data'!$A$19:$A$30,0),3)</f>
        <v>0.6</v>
      </c>
      <c r="G39" s="34">
        <f>IF(OR(AND(MONTH(A39)&gt;8,MONTH(A39)&lt;12),AND(MONTH(A39)&gt;1,MONTH(A39)&lt;6)),'Portfolio Set-up'!$C$6,'Portfolio Set-up'!$C$2)</f>
        <v>0.56521739130434778</v>
      </c>
      <c r="H39" s="35">
        <f>INDEX('Static Data'!$A$37:$C$48,MATCH(MONTH(A39),'Static Data'!$A$37:$A$48,0),3)</f>
        <v>1</v>
      </c>
      <c r="I39" s="35">
        <f>IF(YEAR(A39)&lt;2021,'Static Data'!$C$52,1)</f>
        <v>0.75</v>
      </c>
      <c r="J39" s="33">
        <f>'Portfolio Set-up'!$B$1*'Portfolio Set-up'!$B$3*1000</f>
        <v>1933250</v>
      </c>
    </row>
    <row r="40" spans="1:16" x14ac:dyDescent="0.3">
      <c r="A40" s="13">
        <v>43906</v>
      </c>
      <c r="B40" s="43">
        <f t="shared" si="0"/>
        <v>-1756161.5</v>
      </c>
      <c r="C40" s="34">
        <f t="shared" si="1"/>
        <v>0.1</v>
      </c>
      <c r="D40" s="35">
        <f>IF(OR(AND(MONTH(A40)&gt;8,MONTH(A40)&lt;12),AND(MONTH(A40)&gt;1,MONTH(A40)&lt;6)),'Portfolio Set-up'!$B$1-'Portfolio Set-up'!$B$5,'Portfolio Set-up'!$B$1)</f>
        <v>230</v>
      </c>
      <c r="E40" s="36">
        <f>IF(OR(AND(MONTH(A40)&gt;8,MONTH(A40)&lt;12),AND(MONTH(A40)&gt;1,MONTH(A40)&lt;6)),('Static Data'!$C$13-'Portfolio Set-up'!$B$7)*1000,('Static Data'!$C$13-'Portfolio Set-up'!$B$3)*1000)</f>
        <v>10265.999999999998</v>
      </c>
      <c r="F40" s="35">
        <f>INDEX('Static Data'!$A$19:$C$30,MATCH(MONTH(A40),'Static Data'!$A$19:$A$30,0),3)</f>
        <v>0.6</v>
      </c>
      <c r="G40" s="34">
        <f>IF(OR(AND(MONTH(A40)&gt;8,MONTH(A40)&lt;12),AND(MONTH(A40)&gt;1,MONTH(A40)&lt;6)),'Portfolio Set-up'!$C$6,'Portfolio Set-up'!$C$2)</f>
        <v>0.56521739130434778</v>
      </c>
      <c r="H40" s="35">
        <f>INDEX('Static Data'!$A$37:$C$48,MATCH(MONTH(A40),'Static Data'!$A$37:$A$48,0),3)</f>
        <v>1</v>
      </c>
      <c r="I40" s="35">
        <f>IF(YEAR(A40)&lt;2021,'Static Data'!$C$52,1)</f>
        <v>0.75</v>
      </c>
      <c r="J40" s="33">
        <f>J39</f>
        <v>1933250</v>
      </c>
    </row>
    <row r="41" spans="1:16" x14ac:dyDescent="0.3">
      <c r="A41" s="13">
        <f>A40</f>
        <v>43906</v>
      </c>
      <c r="B41" s="43">
        <f t="shared" si="0"/>
        <v>177088.49999999997</v>
      </c>
      <c r="C41" s="34">
        <f t="shared" si="1"/>
        <v>0.1</v>
      </c>
      <c r="D41" s="35">
        <f>IF(OR(AND(MONTH(A41)&gt;8,MONTH(A41)&lt;12),AND(MONTH(A41)&gt;1,MONTH(A41)&lt;6)),'Portfolio Set-up'!$B$1-'Portfolio Set-up'!$B$5,'Portfolio Set-up'!$B$1)</f>
        <v>230</v>
      </c>
      <c r="E41" s="36">
        <f>IF(OR(AND(MONTH(A41)&gt;8,MONTH(A41)&lt;12),AND(MONTH(A41)&gt;1,MONTH(A41)&lt;6)),('Static Data'!$C$13-'Portfolio Set-up'!$B$7)*1000,('Static Data'!$C$13-'Portfolio Set-up'!$B$3)*1000)</f>
        <v>10265.999999999998</v>
      </c>
      <c r="F41" s="35">
        <f>INDEX('Static Data'!$A$19:$C$30,MATCH(MONTH(A41),'Static Data'!$A$19:$A$30,0),3)</f>
        <v>0.6</v>
      </c>
      <c r="G41" s="34">
        <f>IF(OR(AND(MONTH(A41)&gt;8,MONTH(A41)&lt;12),AND(MONTH(A41)&gt;1,MONTH(A41)&lt;6)),'Portfolio Set-up'!$C$6,'Portfolio Set-up'!$C$2)</f>
        <v>0.56521739130434778</v>
      </c>
      <c r="H41" s="35">
        <f>INDEX('Static Data'!$A$37:$C$48,MATCH(MONTH(A41),'Static Data'!$A$37:$A$48,0),3)</f>
        <v>1</v>
      </c>
      <c r="I41" s="35">
        <f>IF(YEAR(A41)&lt;2021,'Static Data'!$C$52,1)</f>
        <v>0.75</v>
      </c>
      <c r="J41" s="47">
        <v>0</v>
      </c>
    </row>
    <row r="42" spans="1:16" x14ac:dyDescent="0.3">
      <c r="A42" s="19">
        <v>43921</v>
      </c>
      <c r="B42" s="44">
        <f t="shared" si="0"/>
        <v>177088.49999999997</v>
      </c>
      <c r="C42" s="37">
        <f t="shared" si="1"/>
        <v>0.1</v>
      </c>
      <c r="D42" s="38">
        <f>IF(OR(AND(MONTH(A42)&gt;8,MONTH(A42)&lt;12),AND(MONTH(A42)&gt;1,MONTH(A42)&lt;6)),'Portfolio Set-up'!$B$1-'Portfolio Set-up'!$B$5,'Portfolio Set-up'!$B$1)</f>
        <v>230</v>
      </c>
      <c r="E42" s="39">
        <f>IF(OR(AND(MONTH(A42)&gt;8,MONTH(A42)&lt;12),AND(MONTH(A42)&gt;1,MONTH(A42)&lt;6)),('Static Data'!$C$13-'Portfolio Set-up'!$B$7)*1000,('Static Data'!$C$13-'Portfolio Set-up'!$B$3)*1000)</f>
        <v>10265.999999999998</v>
      </c>
      <c r="F42" s="38">
        <f>INDEX('Static Data'!$A$19:$C$30,MATCH(MONTH(A42),'Static Data'!$A$19:$A$30,0),3)</f>
        <v>0.6</v>
      </c>
      <c r="G42" s="37">
        <f>IF(OR(AND(MONTH(A42)&gt;8,MONTH(A42)&lt;12),AND(MONTH(A42)&gt;1,MONTH(A42)&lt;6)),'Portfolio Set-up'!$C$6,'Portfolio Set-up'!$C$2)</f>
        <v>0.56521739130434778</v>
      </c>
      <c r="H42" s="38">
        <f>INDEX('Static Data'!$A$37:$C$48,MATCH(MONTH(A42),'Static Data'!$A$37:$A$48,0),3)</f>
        <v>1</v>
      </c>
      <c r="I42" s="38">
        <f>IF(YEAR(A42)&lt;2021,'Static Data'!$C$52,1)</f>
        <v>0.75</v>
      </c>
      <c r="J42" s="48">
        <v>0</v>
      </c>
    </row>
    <row r="43" spans="1:16" x14ac:dyDescent="0.3">
      <c r="A43" s="13">
        <v>43922</v>
      </c>
      <c r="B43" s="43">
        <f t="shared" si="0"/>
        <v>-1756161.5</v>
      </c>
      <c r="C43" s="34">
        <f t="shared" si="1"/>
        <v>0.1</v>
      </c>
      <c r="D43" s="35">
        <f>IF(OR(AND(MONTH(A43)&gt;8,MONTH(A43)&lt;12),AND(MONTH(A43)&gt;1,MONTH(A43)&lt;6)),'Portfolio Set-up'!$B$1-'Portfolio Set-up'!$B$5,'Portfolio Set-up'!$B$1)</f>
        <v>230</v>
      </c>
      <c r="E43" s="36">
        <f>IF(OR(AND(MONTH(A43)&gt;8,MONTH(A43)&lt;12),AND(MONTH(A43)&gt;1,MONTH(A43)&lt;6)),('Static Data'!$C$13-'Portfolio Set-up'!$B$7)*1000,('Static Data'!$C$13-'Portfolio Set-up'!$B$3)*1000)</f>
        <v>10265.999999999998</v>
      </c>
      <c r="F43" s="35">
        <f>INDEX('Static Data'!$A$19:$C$30,MATCH(MONTH(A43),'Static Data'!$A$19:$A$30,0),3)</f>
        <v>0.6</v>
      </c>
      <c r="G43" s="34">
        <f>IF(OR(AND(MONTH(A43)&gt;8,MONTH(A43)&lt;12),AND(MONTH(A43)&gt;1,MONTH(A43)&lt;6)),'Portfolio Set-up'!$C$6,'Portfolio Set-up'!$C$2)</f>
        <v>0.56521739130434778</v>
      </c>
      <c r="H43" s="35">
        <f>INDEX('Static Data'!$A$37:$C$48,MATCH(MONTH(A43),'Static Data'!$A$37:$A$48,0),3)</f>
        <v>1</v>
      </c>
      <c r="I43" s="35">
        <f>IF(YEAR(A43)&lt;2021,'Static Data'!$C$52,1)</f>
        <v>0.75</v>
      </c>
      <c r="J43" s="33">
        <f>'Portfolio Set-up'!$B$1*'Portfolio Set-up'!$B$3*1000</f>
        <v>1933250</v>
      </c>
    </row>
    <row r="44" spans="1:16" x14ac:dyDescent="0.3">
      <c r="A44" s="13">
        <v>43934</v>
      </c>
      <c r="B44" s="43">
        <f t="shared" si="0"/>
        <v>-1756161.5</v>
      </c>
      <c r="C44" s="34">
        <f t="shared" si="1"/>
        <v>0.1</v>
      </c>
      <c r="D44" s="35">
        <f>IF(OR(AND(MONTH(A44)&gt;8,MONTH(A44)&lt;12),AND(MONTH(A44)&gt;1,MONTH(A44)&lt;6)),'Portfolio Set-up'!$B$1-'Portfolio Set-up'!$B$5,'Portfolio Set-up'!$B$1)</f>
        <v>230</v>
      </c>
      <c r="E44" s="36">
        <f>IF(OR(AND(MONTH(A44)&gt;8,MONTH(A44)&lt;12),AND(MONTH(A44)&gt;1,MONTH(A44)&lt;6)),('Static Data'!$C$13-'Portfolio Set-up'!$B$7)*1000,('Static Data'!$C$13-'Portfolio Set-up'!$B$3)*1000)</f>
        <v>10265.999999999998</v>
      </c>
      <c r="F44" s="35">
        <f>INDEX('Static Data'!$A$19:$C$30,MATCH(MONTH(A44),'Static Data'!$A$19:$A$30,0),3)</f>
        <v>0.6</v>
      </c>
      <c r="G44" s="34">
        <f>IF(OR(AND(MONTH(A44)&gt;8,MONTH(A44)&lt;12),AND(MONTH(A44)&gt;1,MONTH(A44)&lt;6)),'Portfolio Set-up'!$C$6,'Portfolio Set-up'!$C$2)</f>
        <v>0.56521739130434778</v>
      </c>
      <c r="H44" s="35">
        <f>INDEX('Static Data'!$A$37:$C$48,MATCH(MONTH(A44),'Static Data'!$A$37:$A$48,0),3)</f>
        <v>1</v>
      </c>
      <c r="I44" s="35">
        <f>IF(YEAR(A44)&lt;2021,'Static Data'!$C$52,1)</f>
        <v>0.75</v>
      </c>
      <c r="J44" s="33">
        <f>J43</f>
        <v>1933250</v>
      </c>
    </row>
    <row r="45" spans="1:16" x14ac:dyDescent="0.3">
      <c r="A45" s="13">
        <f>A44</f>
        <v>43934</v>
      </c>
      <c r="B45" s="43">
        <f t="shared" si="0"/>
        <v>177088.49999999997</v>
      </c>
      <c r="C45" s="34">
        <f t="shared" si="1"/>
        <v>0.1</v>
      </c>
      <c r="D45" s="35">
        <f>IF(OR(AND(MONTH(A45)&gt;8,MONTH(A45)&lt;12),AND(MONTH(A45)&gt;1,MONTH(A45)&lt;6)),'Portfolio Set-up'!$B$1-'Portfolio Set-up'!$B$5,'Portfolio Set-up'!$B$1)</f>
        <v>230</v>
      </c>
      <c r="E45" s="36">
        <f>IF(OR(AND(MONTH(A45)&gt;8,MONTH(A45)&lt;12),AND(MONTH(A45)&gt;1,MONTH(A45)&lt;6)),('Static Data'!$C$13-'Portfolio Set-up'!$B$7)*1000,('Static Data'!$C$13-'Portfolio Set-up'!$B$3)*1000)</f>
        <v>10265.999999999998</v>
      </c>
      <c r="F45" s="35">
        <f>INDEX('Static Data'!$A$19:$C$30,MATCH(MONTH(A45),'Static Data'!$A$19:$A$30,0),3)</f>
        <v>0.6</v>
      </c>
      <c r="G45" s="34">
        <f>IF(OR(AND(MONTH(A45)&gt;8,MONTH(A45)&lt;12),AND(MONTH(A45)&gt;1,MONTH(A45)&lt;6)),'Portfolio Set-up'!$C$6,'Portfolio Set-up'!$C$2)</f>
        <v>0.56521739130434778</v>
      </c>
      <c r="H45" s="35">
        <f>INDEX('Static Data'!$A$37:$C$48,MATCH(MONTH(A45),'Static Data'!$A$37:$A$48,0),3)</f>
        <v>1</v>
      </c>
      <c r="I45" s="35">
        <f>IF(YEAR(A45)&lt;2021,'Static Data'!$C$52,1)</f>
        <v>0.75</v>
      </c>
      <c r="J45" s="47">
        <v>0</v>
      </c>
    </row>
    <row r="46" spans="1:16" x14ac:dyDescent="0.3">
      <c r="A46" s="19">
        <v>43951</v>
      </c>
      <c r="B46" s="44">
        <f t="shared" si="0"/>
        <v>177088.49999999997</v>
      </c>
      <c r="C46" s="37">
        <f t="shared" si="1"/>
        <v>0.1</v>
      </c>
      <c r="D46" s="38">
        <f>IF(OR(AND(MONTH(A46)&gt;8,MONTH(A46)&lt;12),AND(MONTH(A46)&gt;1,MONTH(A46)&lt;6)),'Portfolio Set-up'!$B$1-'Portfolio Set-up'!$B$5,'Portfolio Set-up'!$B$1)</f>
        <v>230</v>
      </c>
      <c r="E46" s="39">
        <f>IF(OR(AND(MONTH(A46)&gt;8,MONTH(A46)&lt;12),AND(MONTH(A46)&gt;1,MONTH(A46)&lt;6)),('Static Data'!$C$13-'Portfolio Set-up'!$B$7)*1000,('Static Data'!$C$13-'Portfolio Set-up'!$B$3)*1000)</f>
        <v>10265.999999999998</v>
      </c>
      <c r="F46" s="38">
        <f>INDEX('Static Data'!$A$19:$C$30,MATCH(MONTH(A46),'Static Data'!$A$19:$A$30,0),3)</f>
        <v>0.6</v>
      </c>
      <c r="G46" s="37">
        <f>IF(OR(AND(MONTH(A46)&gt;8,MONTH(A46)&lt;12),AND(MONTH(A46)&gt;1,MONTH(A46)&lt;6)),'Portfolio Set-up'!$C$6,'Portfolio Set-up'!$C$2)</f>
        <v>0.56521739130434778</v>
      </c>
      <c r="H46" s="38">
        <f>INDEX('Static Data'!$A$37:$C$48,MATCH(MONTH(A46),'Static Data'!$A$37:$A$48,0),3)</f>
        <v>1</v>
      </c>
      <c r="I46" s="38">
        <f>IF(YEAR(A46)&lt;2021,'Static Data'!$C$52,1)</f>
        <v>0.75</v>
      </c>
      <c r="J46" s="48">
        <v>0</v>
      </c>
    </row>
    <row r="47" spans="1:16" x14ac:dyDescent="0.3">
      <c r="A47" s="13">
        <v>43952</v>
      </c>
      <c r="B47" s="43">
        <f t="shared" si="0"/>
        <v>-1756161.5</v>
      </c>
      <c r="C47" s="34">
        <f t="shared" si="1"/>
        <v>0.1</v>
      </c>
      <c r="D47" s="35">
        <f>IF(OR(AND(MONTH(A47)&gt;8,MONTH(A47)&lt;12),AND(MONTH(A47)&gt;1,MONTH(A47)&lt;6)),'Portfolio Set-up'!$B$1-'Portfolio Set-up'!$B$5,'Portfolio Set-up'!$B$1)</f>
        <v>230</v>
      </c>
      <c r="E47" s="36">
        <f>IF(OR(AND(MONTH(A47)&gt;8,MONTH(A47)&lt;12),AND(MONTH(A47)&gt;1,MONTH(A47)&lt;6)),('Static Data'!$C$13-'Portfolio Set-up'!$B$7)*1000,('Static Data'!$C$13-'Portfolio Set-up'!$B$3)*1000)</f>
        <v>10265.999999999998</v>
      </c>
      <c r="F47" s="35">
        <f>INDEX('Static Data'!$A$19:$C$30,MATCH(MONTH(A47),'Static Data'!$A$19:$A$30,0),3)</f>
        <v>0.6</v>
      </c>
      <c r="G47" s="34">
        <f>IF(OR(AND(MONTH(A47)&gt;8,MONTH(A47)&lt;12),AND(MONTH(A47)&gt;1,MONTH(A47)&lt;6)),'Portfolio Set-up'!$C$6,'Portfolio Set-up'!$C$2)</f>
        <v>0.56521739130434778</v>
      </c>
      <c r="H47" s="35">
        <f>INDEX('Static Data'!$A$37:$C$48,MATCH(MONTH(A47),'Static Data'!$A$37:$A$48,0),3)</f>
        <v>1</v>
      </c>
      <c r="I47" s="35">
        <f>IF(YEAR(A47)&lt;2021,'Static Data'!$C$52,1)</f>
        <v>0.75</v>
      </c>
      <c r="J47" s="33">
        <f>'Portfolio Set-up'!$B$1*'Portfolio Set-up'!$B$3*1000</f>
        <v>1933250</v>
      </c>
    </row>
    <row r="48" spans="1:16" x14ac:dyDescent="0.3">
      <c r="A48" s="13">
        <v>43962</v>
      </c>
      <c r="B48" s="43">
        <f t="shared" si="0"/>
        <v>-1756161.5</v>
      </c>
      <c r="C48" s="34">
        <f t="shared" si="1"/>
        <v>0.1</v>
      </c>
      <c r="D48" s="35">
        <f>IF(OR(AND(MONTH(A48)&gt;8,MONTH(A48)&lt;12),AND(MONTH(A48)&gt;1,MONTH(A48)&lt;6)),'Portfolio Set-up'!$B$1-'Portfolio Set-up'!$B$5,'Portfolio Set-up'!$B$1)</f>
        <v>230</v>
      </c>
      <c r="E48" s="36">
        <f>IF(OR(AND(MONTH(A48)&gt;8,MONTH(A48)&lt;12),AND(MONTH(A48)&gt;1,MONTH(A48)&lt;6)),('Static Data'!$C$13-'Portfolio Set-up'!$B$7)*1000,('Static Data'!$C$13-'Portfolio Set-up'!$B$3)*1000)</f>
        <v>10265.999999999998</v>
      </c>
      <c r="F48" s="35">
        <f>INDEX('Static Data'!$A$19:$C$30,MATCH(MONTH(A48),'Static Data'!$A$19:$A$30,0),3)</f>
        <v>0.6</v>
      </c>
      <c r="G48" s="34">
        <f>IF(OR(AND(MONTH(A48)&gt;8,MONTH(A48)&lt;12),AND(MONTH(A48)&gt;1,MONTH(A48)&lt;6)),'Portfolio Set-up'!$C$6,'Portfolio Set-up'!$C$2)</f>
        <v>0.56521739130434778</v>
      </c>
      <c r="H48" s="35">
        <f>INDEX('Static Data'!$A$37:$C$48,MATCH(MONTH(A48),'Static Data'!$A$37:$A$48,0),3)</f>
        <v>1</v>
      </c>
      <c r="I48" s="35">
        <f>IF(YEAR(A48)&lt;2021,'Static Data'!$C$52,1)</f>
        <v>0.75</v>
      </c>
      <c r="J48" s="33">
        <f>J47</f>
        <v>1933250</v>
      </c>
    </row>
    <row r="49" spans="1:10" x14ac:dyDescent="0.3">
      <c r="A49" s="13">
        <f>A48</f>
        <v>43962</v>
      </c>
      <c r="B49" s="43">
        <f t="shared" si="0"/>
        <v>177088.49999999997</v>
      </c>
      <c r="C49" s="34">
        <f t="shared" si="1"/>
        <v>0.1</v>
      </c>
      <c r="D49" s="35">
        <f>IF(OR(AND(MONTH(A49)&gt;8,MONTH(A49)&lt;12),AND(MONTH(A49)&gt;1,MONTH(A49)&lt;6)),'Portfolio Set-up'!$B$1-'Portfolio Set-up'!$B$5,'Portfolio Set-up'!$B$1)</f>
        <v>230</v>
      </c>
      <c r="E49" s="36">
        <f>IF(OR(AND(MONTH(A49)&gt;8,MONTH(A49)&lt;12),AND(MONTH(A49)&gt;1,MONTH(A49)&lt;6)),('Static Data'!$C$13-'Portfolio Set-up'!$B$7)*1000,('Static Data'!$C$13-'Portfolio Set-up'!$B$3)*1000)</f>
        <v>10265.999999999998</v>
      </c>
      <c r="F49" s="35">
        <f>INDEX('Static Data'!$A$19:$C$30,MATCH(MONTH(A49),'Static Data'!$A$19:$A$30,0),3)</f>
        <v>0.6</v>
      </c>
      <c r="G49" s="34">
        <f>IF(OR(AND(MONTH(A49)&gt;8,MONTH(A49)&lt;12),AND(MONTH(A49)&gt;1,MONTH(A49)&lt;6)),'Portfolio Set-up'!$C$6,'Portfolio Set-up'!$C$2)</f>
        <v>0.56521739130434778</v>
      </c>
      <c r="H49" s="35">
        <f>INDEX('Static Data'!$A$37:$C$48,MATCH(MONTH(A49),'Static Data'!$A$37:$A$48,0),3)</f>
        <v>1</v>
      </c>
      <c r="I49" s="35">
        <f>IF(YEAR(A49)&lt;2021,'Static Data'!$C$52,1)</f>
        <v>0.75</v>
      </c>
      <c r="J49" s="33">
        <v>0</v>
      </c>
    </row>
    <row r="50" spans="1:10" x14ac:dyDescent="0.3">
      <c r="A50" s="19">
        <v>43982</v>
      </c>
      <c r="B50" s="44">
        <f t="shared" si="0"/>
        <v>177088.49999999997</v>
      </c>
      <c r="C50" s="37">
        <f t="shared" si="1"/>
        <v>0.1</v>
      </c>
      <c r="D50" s="38">
        <f>IF(OR(AND(MONTH(A50)&gt;8,MONTH(A50)&lt;12),AND(MONTH(A50)&gt;1,MONTH(A50)&lt;6)),'Portfolio Set-up'!$B$1-'Portfolio Set-up'!$B$5,'Portfolio Set-up'!$B$1)</f>
        <v>230</v>
      </c>
      <c r="E50" s="39">
        <f>IF(OR(AND(MONTH(A50)&gt;8,MONTH(A50)&lt;12),AND(MONTH(A50)&gt;1,MONTH(A50)&lt;6)),('Static Data'!$C$13-'Portfolio Set-up'!$B$7)*1000,('Static Data'!$C$13-'Portfolio Set-up'!$B$3)*1000)</f>
        <v>10265.999999999998</v>
      </c>
      <c r="F50" s="38">
        <f>INDEX('Static Data'!$A$19:$C$30,MATCH(MONTH(A50),'Static Data'!$A$19:$A$30,0),3)</f>
        <v>0.6</v>
      </c>
      <c r="G50" s="37">
        <f>IF(OR(AND(MONTH(A50)&gt;8,MONTH(A50)&lt;12),AND(MONTH(A50)&gt;1,MONTH(A50)&lt;6)),'Portfolio Set-up'!$C$6,'Portfolio Set-up'!$C$2)</f>
        <v>0.56521739130434778</v>
      </c>
      <c r="H50" s="38">
        <f>INDEX('Static Data'!$A$37:$C$48,MATCH(MONTH(A50),'Static Data'!$A$37:$A$48,0),3)</f>
        <v>1</v>
      </c>
      <c r="I50" s="38">
        <f>IF(YEAR(A50)&lt;2021,'Static Data'!$C$52,1)</f>
        <v>0.75</v>
      </c>
      <c r="J50" s="49">
        <v>0</v>
      </c>
    </row>
  </sheetData>
  <mergeCells count="1">
    <mergeCell ref="L1:R1"/>
  </mergeCells>
  <pageMargins left="0.45" right="0.45" top="0.75" bottom="0.75" header="0.3" footer="0.3"/>
  <pageSetup orientation="landscape" r:id="rId1"/>
  <headerFooter>
    <oddFooter>&amp;CISO-NE Public</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58"/>
  <sheetViews>
    <sheetView topLeftCell="B1" workbookViewId="0">
      <selection activeCell="K20" sqref="K20"/>
    </sheetView>
  </sheetViews>
  <sheetFormatPr defaultRowHeight="14.4" x14ac:dyDescent="0.3"/>
  <cols>
    <col min="1" max="1" width="6.88671875" hidden="1" customWidth="1"/>
    <col min="2" max="2" width="31.5546875" bestFit="1" customWidth="1"/>
    <col min="3" max="3" width="15.21875" bestFit="1" customWidth="1"/>
    <col min="4" max="4" width="12" bestFit="1" customWidth="1"/>
    <col min="5" max="5" width="9.6640625" bestFit="1" customWidth="1"/>
    <col min="6" max="6" width="7" style="4" bestFit="1" customWidth="1"/>
    <col min="8" max="8" width="12.5546875" bestFit="1" customWidth="1"/>
    <col min="9" max="9" width="12.6640625" bestFit="1" customWidth="1"/>
    <col min="10" max="10" width="9.77734375" bestFit="1" customWidth="1"/>
  </cols>
  <sheetData>
    <row r="1" spans="1:5" s="4" customFormat="1" x14ac:dyDescent="0.3">
      <c r="B1" s="64"/>
      <c r="C1" s="64"/>
      <c r="D1" s="64"/>
      <c r="E1" s="64"/>
    </row>
    <row r="2" spans="1:5" ht="15" thickBot="1" x14ac:dyDescent="0.35">
      <c r="B2" s="65" t="s">
        <v>47</v>
      </c>
      <c r="C2" s="65" t="s">
        <v>25</v>
      </c>
      <c r="D2" s="64"/>
      <c r="E2" s="64"/>
    </row>
    <row r="3" spans="1:5" x14ac:dyDescent="0.3">
      <c r="B3" s="66" t="s">
        <v>26</v>
      </c>
      <c r="C3" s="66">
        <v>0.9</v>
      </c>
      <c r="D3" s="64"/>
      <c r="E3" s="64"/>
    </row>
    <row r="4" spans="1:5" x14ac:dyDescent="0.3">
      <c r="B4" s="67" t="s">
        <v>27</v>
      </c>
      <c r="C4" s="67">
        <v>0.9</v>
      </c>
      <c r="D4" s="64"/>
      <c r="E4" s="64"/>
    </row>
    <row r="5" spans="1:5" x14ac:dyDescent="0.3">
      <c r="B5" s="67" t="s">
        <v>28</v>
      </c>
      <c r="C5" s="67">
        <v>0.9</v>
      </c>
      <c r="D5" s="64"/>
      <c r="E5" s="64"/>
    </row>
    <row r="6" spans="1:5" x14ac:dyDescent="0.3">
      <c r="B6" s="67" t="s">
        <v>29</v>
      </c>
      <c r="C6" s="67">
        <v>0.85</v>
      </c>
      <c r="D6" s="64"/>
      <c r="E6" s="64"/>
    </row>
    <row r="7" spans="1:5" x14ac:dyDescent="0.3">
      <c r="B7" s="67" t="s">
        <v>30</v>
      </c>
      <c r="C7" s="67">
        <v>0.65</v>
      </c>
      <c r="D7" s="64"/>
      <c r="E7" s="64"/>
    </row>
    <row r="8" spans="1:5" x14ac:dyDescent="0.3">
      <c r="B8" s="68" t="s">
        <v>12</v>
      </c>
      <c r="C8" s="68">
        <v>1</v>
      </c>
      <c r="D8" s="64"/>
      <c r="E8" s="64"/>
    </row>
    <row r="9" spans="1:5" x14ac:dyDescent="0.3">
      <c r="B9" s="64"/>
      <c r="C9" s="64"/>
      <c r="D9" s="64"/>
      <c r="E9" s="64"/>
    </row>
    <row r="10" spans="1:5" ht="15" thickBot="1" x14ac:dyDescent="0.35">
      <c r="A10" s="4"/>
      <c r="B10" s="65" t="s">
        <v>2</v>
      </c>
      <c r="C10" s="64"/>
      <c r="D10" s="64"/>
      <c r="E10" s="64"/>
    </row>
    <row r="11" spans="1:5" ht="15" thickBot="1" x14ac:dyDescent="0.35">
      <c r="A11" s="4"/>
      <c r="B11" s="64"/>
      <c r="C11" s="65" t="s">
        <v>3</v>
      </c>
      <c r="D11" s="65" t="s">
        <v>4</v>
      </c>
      <c r="E11" s="65" t="s">
        <v>8</v>
      </c>
    </row>
    <row r="12" spans="1:5" x14ac:dyDescent="0.3">
      <c r="A12" s="4"/>
      <c r="B12" s="67" t="s">
        <v>5</v>
      </c>
      <c r="C12" s="66">
        <v>17.728000000000002</v>
      </c>
      <c r="D12" s="69">
        <v>9.5510000000000002</v>
      </c>
      <c r="E12" s="66">
        <f>C12-D12</f>
        <v>8.1770000000000014</v>
      </c>
    </row>
    <row r="13" spans="1:5" x14ac:dyDescent="0.3">
      <c r="A13" s="4"/>
      <c r="B13" s="67" t="s">
        <v>6</v>
      </c>
      <c r="C13" s="70">
        <v>17.295999999999999</v>
      </c>
      <c r="D13" s="71">
        <v>7.03</v>
      </c>
      <c r="E13" s="71">
        <f>C13-D13</f>
        <v>10.265999999999998</v>
      </c>
    </row>
    <row r="14" spans="1:5" x14ac:dyDescent="0.3">
      <c r="A14" s="4"/>
      <c r="B14" s="67" t="s">
        <v>7</v>
      </c>
      <c r="C14" s="70">
        <v>18.623999999999999</v>
      </c>
      <c r="D14" s="70">
        <v>5.2969999999999997</v>
      </c>
      <c r="E14" s="70">
        <f>C14-D14</f>
        <v>13.326999999999998</v>
      </c>
    </row>
    <row r="15" spans="1:5" x14ac:dyDescent="0.3">
      <c r="A15" s="4"/>
      <c r="B15" s="67" t="s">
        <v>17</v>
      </c>
      <c r="C15" s="70"/>
      <c r="D15" s="70"/>
      <c r="E15" s="70"/>
    </row>
    <row r="16" spans="1:5" x14ac:dyDescent="0.3">
      <c r="A16" s="4"/>
      <c r="B16" s="64"/>
      <c r="C16" s="64"/>
      <c r="D16" s="64"/>
      <c r="E16" s="64"/>
    </row>
    <row r="17" spans="1:5" ht="15" thickBot="1" x14ac:dyDescent="0.35">
      <c r="A17" s="4"/>
      <c r="B17" s="65" t="s">
        <v>10</v>
      </c>
      <c r="C17" s="64"/>
      <c r="D17" s="64"/>
      <c r="E17" s="64"/>
    </row>
    <row r="18" spans="1:5" ht="15" thickBot="1" x14ac:dyDescent="0.35">
      <c r="A18" t="s">
        <v>33</v>
      </c>
      <c r="B18" s="64"/>
      <c r="C18" s="65" t="s">
        <v>9</v>
      </c>
      <c r="D18" s="64"/>
      <c r="E18" s="64"/>
    </row>
    <row r="19" spans="1:5" x14ac:dyDescent="0.3">
      <c r="A19">
        <f t="shared" ref="A19:A30" si="0">MONTH(B19)</f>
        <v>6</v>
      </c>
      <c r="B19" s="72">
        <v>43617</v>
      </c>
      <c r="C19" s="66">
        <v>0.84099999999999997</v>
      </c>
      <c r="D19" s="64"/>
      <c r="E19" s="64"/>
    </row>
    <row r="20" spans="1:5" x14ac:dyDescent="0.3">
      <c r="A20" s="4">
        <f t="shared" si="0"/>
        <v>7</v>
      </c>
      <c r="B20" s="72">
        <v>43647</v>
      </c>
      <c r="C20" s="67">
        <v>0.84099999999999997</v>
      </c>
      <c r="D20" s="64"/>
      <c r="E20" s="64"/>
    </row>
    <row r="21" spans="1:5" x14ac:dyDescent="0.3">
      <c r="A21" s="4">
        <f t="shared" si="0"/>
        <v>8</v>
      </c>
      <c r="B21" s="72">
        <v>43678</v>
      </c>
      <c r="C21" s="67">
        <v>0.84099999999999997</v>
      </c>
      <c r="D21" s="64"/>
      <c r="E21" s="64"/>
    </row>
    <row r="22" spans="1:5" x14ac:dyDescent="0.3">
      <c r="A22" s="4">
        <f t="shared" si="0"/>
        <v>9</v>
      </c>
      <c r="B22" s="72">
        <v>43709</v>
      </c>
      <c r="C22" s="67">
        <v>0.84099999999999997</v>
      </c>
      <c r="D22" s="64"/>
      <c r="E22" s="64"/>
    </row>
    <row r="23" spans="1:5" x14ac:dyDescent="0.3">
      <c r="A23" s="4">
        <f t="shared" si="0"/>
        <v>10</v>
      </c>
      <c r="B23" s="72">
        <v>43739</v>
      </c>
      <c r="C23" s="67">
        <v>0.6</v>
      </c>
      <c r="D23" s="64"/>
      <c r="E23" s="64"/>
    </row>
    <row r="24" spans="1:5" x14ac:dyDescent="0.3">
      <c r="A24" s="4">
        <f t="shared" si="0"/>
        <v>11</v>
      </c>
      <c r="B24" s="72">
        <v>43770</v>
      </c>
      <c r="C24" s="67">
        <v>0.6</v>
      </c>
      <c r="D24" s="64"/>
      <c r="E24" s="64"/>
    </row>
    <row r="25" spans="1:5" x14ac:dyDescent="0.3">
      <c r="A25" s="4">
        <f t="shared" si="0"/>
        <v>12</v>
      </c>
      <c r="B25" s="72">
        <v>43800</v>
      </c>
      <c r="C25" s="67">
        <v>0.7</v>
      </c>
      <c r="D25" s="64"/>
      <c r="E25" s="64"/>
    </row>
    <row r="26" spans="1:5" x14ac:dyDescent="0.3">
      <c r="A26" s="4">
        <f t="shared" si="0"/>
        <v>1</v>
      </c>
      <c r="B26" s="72">
        <v>43831</v>
      </c>
      <c r="C26" s="67">
        <v>0.7</v>
      </c>
      <c r="D26" s="64"/>
      <c r="E26" s="64"/>
    </row>
    <row r="27" spans="1:5" x14ac:dyDescent="0.3">
      <c r="A27" s="4">
        <f t="shared" si="0"/>
        <v>2</v>
      </c>
      <c r="B27" s="72">
        <v>43862</v>
      </c>
      <c r="C27" s="67">
        <v>0.7</v>
      </c>
      <c r="D27" s="64"/>
      <c r="E27" s="64"/>
    </row>
    <row r="28" spans="1:5" x14ac:dyDescent="0.3">
      <c r="A28" s="4">
        <f t="shared" si="0"/>
        <v>3</v>
      </c>
      <c r="B28" s="72">
        <v>43891</v>
      </c>
      <c r="C28" s="67">
        <v>0.6</v>
      </c>
      <c r="D28" s="64"/>
      <c r="E28" s="64"/>
    </row>
    <row r="29" spans="1:5" x14ac:dyDescent="0.3">
      <c r="A29" s="4">
        <f t="shared" si="0"/>
        <v>4</v>
      </c>
      <c r="B29" s="72">
        <v>43922</v>
      </c>
      <c r="C29" s="67">
        <v>0.6</v>
      </c>
      <c r="D29" s="64"/>
      <c r="E29" s="64"/>
    </row>
    <row r="30" spans="1:5" x14ac:dyDescent="0.3">
      <c r="A30" s="4">
        <f t="shared" si="0"/>
        <v>5</v>
      </c>
      <c r="B30" s="72">
        <v>43952</v>
      </c>
      <c r="C30" s="67">
        <v>0.6</v>
      </c>
      <c r="D30" s="64"/>
      <c r="E30" s="64"/>
    </row>
    <row r="31" spans="1:5" s="4" customFormat="1" x14ac:dyDescent="0.3">
      <c r="B31" s="64"/>
      <c r="C31" s="64"/>
      <c r="D31" s="64"/>
      <c r="E31" s="64"/>
    </row>
    <row r="32" spans="1:5" s="4" customFormat="1" x14ac:dyDescent="0.3">
      <c r="B32" s="64"/>
      <c r="C32" s="64"/>
      <c r="D32" s="64"/>
      <c r="E32" s="64"/>
    </row>
    <row r="33" spans="1:5" s="4" customFormat="1" x14ac:dyDescent="0.3">
      <c r="B33" s="64"/>
      <c r="C33" s="64"/>
      <c r="D33" s="64"/>
      <c r="E33" s="64"/>
    </row>
    <row r="34" spans="1:5" x14ac:dyDescent="0.3">
      <c r="A34" s="4"/>
      <c r="B34" s="64"/>
      <c r="C34" s="64"/>
      <c r="D34" s="64"/>
      <c r="E34" s="64"/>
    </row>
    <row r="35" spans="1:5" ht="15" thickBot="1" x14ac:dyDescent="0.35">
      <c r="B35" s="65" t="s">
        <v>13</v>
      </c>
      <c r="C35" s="64"/>
      <c r="D35" s="64"/>
      <c r="E35" s="64"/>
    </row>
    <row r="36" spans="1:5" ht="15" thickBot="1" x14ac:dyDescent="0.35">
      <c r="B36" s="64"/>
      <c r="C36" s="65" t="s">
        <v>14</v>
      </c>
      <c r="D36" s="64"/>
      <c r="E36" s="64"/>
    </row>
    <row r="37" spans="1:5" x14ac:dyDescent="0.3">
      <c r="A37" s="4">
        <f t="shared" ref="A37:A48" si="1">MONTH(B37)</f>
        <v>6</v>
      </c>
      <c r="B37" s="72">
        <f>B19</f>
        <v>43617</v>
      </c>
      <c r="C37" s="66">
        <v>2</v>
      </c>
      <c r="D37" s="64"/>
      <c r="E37" s="64"/>
    </row>
    <row r="38" spans="1:5" x14ac:dyDescent="0.3">
      <c r="A38" s="4">
        <f t="shared" si="1"/>
        <v>7</v>
      </c>
      <c r="B38" s="72">
        <f t="shared" ref="B38:B48" si="2">B20</f>
        <v>43647</v>
      </c>
      <c r="C38" s="67">
        <v>1.732</v>
      </c>
      <c r="D38" s="64"/>
      <c r="E38" s="64"/>
    </row>
    <row r="39" spans="1:5" x14ac:dyDescent="0.3">
      <c r="A39" s="4">
        <f t="shared" si="1"/>
        <v>8</v>
      </c>
      <c r="B39" s="72">
        <f t="shared" si="2"/>
        <v>43678</v>
      </c>
      <c r="C39" s="67">
        <v>1.4139999999999999</v>
      </c>
      <c r="D39" s="64"/>
      <c r="E39" s="64"/>
    </row>
    <row r="40" spans="1:5" x14ac:dyDescent="0.3">
      <c r="A40" s="4">
        <f t="shared" si="1"/>
        <v>9</v>
      </c>
      <c r="B40" s="72">
        <f t="shared" si="2"/>
        <v>43709</v>
      </c>
      <c r="C40" s="67">
        <v>1</v>
      </c>
      <c r="D40" s="64"/>
      <c r="E40" s="64"/>
    </row>
    <row r="41" spans="1:5" x14ac:dyDescent="0.3">
      <c r="A41" s="4">
        <f t="shared" si="1"/>
        <v>10</v>
      </c>
      <c r="B41" s="72">
        <f t="shared" si="2"/>
        <v>43739</v>
      </c>
      <c r="C41" s="67">
        <v>1</v>
      </c>
      <c r="D41" s="64"/>
      <c r="E41" s="64"/>
    </row>
    <row r="42" spans="1:5" x14ac:dyDescent="0.3">
      <c r="A42" s="4">
        <f t="shared" si="1"/>
        <v>11</v>
      </c>
      <c r="B42" s="72">
        <f t="shared" si="2"/>
        <v>43770</v>
      </c>
      <c r="C42" s="67">
        <v>1</v>
      </c>
      <c r="D42" s="64"/>
      <c r="E42" s="64"/>
    </row>
    <row r="43" spans="1:5" x14ac:dyDescent="0.3">
      <c r="A43" s="4">
        <f t="shared" si="1"/>
        <v>12</v>
      </c>
      <c r="B43" s="72">
        <f t="shared" si="2"/>
        <v>43800</v>
      </c>
      <c r="C43" s="67">
        <v>1.732</v>
      </c>
      <c r="D43" s="64"/>
      <c r="E43" s="64"/>
    </row>
    <row r="44" spans="1:5" x14ac:dyDescent="0.3">
      <c r="A44" s="4">
        <f t="shared" si="1"/>
        <v>1</v>
      </c>
      <c r="B44" s="72">
        <f t="shared" si="2"/>
        <v>43831</v>
      </c>
      <c r="C44" s="67">
        <v>1.4139999999999999</v>
      </c>
      <c r="D44" s="64"/>
      <c r="E44" s="64"/>
    </row>
    <row r="45" spans="1:5" x14ac:dyDescent="0.3">
      <c r="A45" s="4">
        <f t="shared" si="1"/>
        <v>2</v>
      </c>
      <c r="B45" s="72">
        <f t="shared" si="2"/>
        <v>43862</v>
      </c>
      <c r="C45" s="67">
        <v>1</v>
      </c>
      <c r="D45" s="64"/>
      <c r="E45" s="64"/>
    </row>
    <row r="46" spans="1:5" x14ac:dyDescent="0.3">
      <c r="A46" s="4">
        <f t="shared" si="1"/>
        <v>3</v>
      </c>
      <c r="B46" s="72">
        <f t="shared" si="2"/>
        <v>43891</v>
      </c>
      <c r="C46" s="67">
        <v>1</v>
      </c>
      <c r="D46" s="64"/>
      <c r="E46" s="64"/>
    </row>
    <row r="47" spans="1:5" x14ac:dyDescent="0.3">
      <c r="A47" s="4">
        <f t="shared" si="1"/>
        <v>4</v>
      </c>
      <c r="B47" s="72">
        <f t="shared" si="2"/>
        <v>43922</v>
      </c>
      <c r="C47" s="67">
        <v>1</v>
      </c>
      <c r="D47" s="64"/>
      <c r="E47" s="64"/>
    </row>
    <row r="48" spans="1:5" x14ac:dyDescent="0.3">
      <c r="A48" s="4">
        <f t="shared" si="1"/>
        <v>5</v>
      </c>
      <c r="B48" s="72">
        <f t="shared" si="2"/>
        <v>43952</v>
      </c>
      <c r="C48" s="67">
        <v>1</v>
      </c>
      <c r="D48" s="64"/>
      <c r="E48" s="64"/>
    </row>
    <row r="49" spans="1:5" x14ac:dyDescent="0.3">
      <c r="A49" s="4"/>
      <c r="B49" s="64"/>
      <c r="C49" s="64"/>
      <c r="D49" s="64"/>
      <c r="E49" s="64"/>
    </row>
    <row r="50" spans="1:5" ht="15" thickBot="1" x14ac:dyDescent="0.35">
      <c r="A50" s="4"/>
      <c r="B50" s="65" t="s">
        <v>15</v>
      </c>
      <c r="C50" s="64"/>
      <c r="D50" s="64"/>
      <c r="E50" s="64"/>
    </row>
    <row r="51" spans="1:5" ht="15" thickBot="1" x14ac:dyDescent="0.35">
      <c r="A51" s="4"/>
      <c r="B51" s="64"/>
      <c r="C51" s="65" t="s">
        <v>16</v>
      </c>
      <c r="D51" s="64"/>
      <c r="E51" s="64"/>
    </row>
    <row r="52" spans="1:5" x14ac:dyDescent="0.3">
      <c r="A52" s="4"/>
      <c r="B52" s="67" t="s">
        <v>5</v>
      </c>
      <c r="C52" s="66">
        <v>0.75</v>
      </c>
      <c r="D52" s="64"/>
      <c r="E52" s="64"/>
    </row>
    <row r="53" spans="1:5" x14ac:dyDescent="0.3">
      <c r="A53" s="4"/>
      <c r="B53" s="67" t="s">
        <v>6</v>
      </c>
      <c r="C53" s="67">
        <v>0.75</v>
      </c>
      <c r="D53" s="64"/>
      <c r="E53" s="64"/>
    </row>
    <row r="54" spans="1:5" x14ac:dyDescent="0.3">
      <c r="A54" s="4"/>
      <c r="B54" s="67" t="s">
        <v>7</v>
      </c>
      <c r="C54" s="67">
        <v>0.75</v>
      </c>
      <c r="D54" s="64"/>
      <c r="E54" s="64"/>
    </row>
    <row r="55" spans="1:5" x14ac:dyDescent="0.3">
      <c r="A55" s="4"/>
      <c r="B55" s="67" t="s">
        <v>17</v>
      </c>
      <c r="C55" s="67">
        <v>1</v>
      </c>
      <c r="D55" s="64"/>
      <c r="E55" s="64"/>
    </row>
    <row r="56" spans="1:5" x14ac:dyDescent="0.3">
      <c r="A56" s="4"/>
      <c r="B56" s="67" t="s">
        <v>18</v>
      </c>
      <c r="C56" s="67">
        <v>1</v>
      </c>
      <c r="D56" s="64"/>
      <c r="E56" s="64"/>
    </row>
    <row r="57" spans="1:5" x14ac:dyDescent="0.3">
      <c r="A57" s="4"/>
      <c r="B57" s="67" t="s">
        <v>19</v>
      </c>
      <c r="C57" s="67">
        <v>1</v>
      </c>
      <c r="D57" s="64"/>
      <c r="E57" s="64"/>
    </row>
    <row r="58" spans="1:5" x14ac:dyDescent="0.3">
      <c r="A58" s="4"/>
      <c r="B58" s="67" t="s">
        <v>20</v>
      </c>
      <c r="C58" s="67">
        <v>1</v>
      </c>
      <c r="D58" s="64"/>
      <c r="E58" s="64"/>
    </row>
  </sheetData>
  <pageMargins left="0.7" right="0.7" top="0.75" bottom="0.75" header="0.3" footer="0.3"/>
  <pageSetup orientation="portrait" horizontalDpi="200" verticalDpi="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Definitions</vt:lpstr>
      <vt:lpstr>Portfolio Set-up</vt:lpstr>
      <vt:lpstr>Delivery FA Calculation</vt:lpstr>
      <vt:lpstr>Static Data</vt:lpstr>
      <vt:lpstr>Definitions!Print_Area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2019-05-24T13:30:33Z</dcterms:created>
  <dcterms:modified xsi:type="dcterms:W3CDTF">2019-05-24T13:30:38Z</dcterms:modified>
</cp:coreProperties>
</file>